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Sheet1" sheetId="1" r:id="rId1"/>
  </sheets>
  <definedNames>
    <definedName name="_xlnm._FilterDatabase" localSheetId="0" hidden="1">Sheet1!$A$3:$AD$134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0" i="1" l="1"/>
  <c r="Y130" i="1"/>
  <c r="H130" i="1"/>
  <c r="F130" i="1"/>
  <c r="Y128" i="1"/>
  <c r="I128" i="1"/>
  <c r="H128" i="1"/>
  <c r="D128" i="1"/>
  <c r="Y126" i="1"/>
  <c r="H126" i="1"/>
  <c r="F126" i="1"/>
  <c r="D126" i="1"/>
  <c r="Y124" i="1"/>
  <c r="H124" i="1"/>
  <c r="F124" i="1"/>
  <c r="Y122" i="1"/>
  <c r="M122" i="1"/>
  <c r="H122" i="1"/>
  <c r="G122" i="1"/>
  <c r="Y118" i="1"/>
  <c r="M118" i="1"/>
  <c r="H118" i="1"/>
  <c r="G118" i="1"/>
  <c r="Y116" i="1"/>
  <c r="H116" i="1"/>
  <c r="Y114" i="1"/>
  <c r="M114" i="1"/>
  <c r="H114" i="1"/>
  <c r="G114" i="1"/>
  <c r="Y112" i="1"/>
  <c r="M112" i="1"/>
  <c r="G112" i="1"/>
  <c r="F112" i="1"/>
  <c r="Y110" i="1"/>
  <c r="J110" i="1"/>
  <c r="H110" i="1"/>
  <c r="G110" i="1"/>
  <c r="Y108" i="1"/>
  <c r="H108" i="1"/>
  <c r="F108" i="1"/>
  <c r="Y104" i="1"/>
  <c r="M104" i="1"/>
  <c r="H104" i="1"/>
  <c r="G104" i="1"/>
  <c r="F104" i="1"/>
  <c r="D104" i="1"/>
  <c r="Y102" i="1"/>
  <c r="M102" i="1"/>
  <c r="H102" i="1"/>
  <c r="G102" i="1"/>
  <c r="Y98" i="1"/>
  <c r="M98" i="1"/>
  <c r="G98" i="1"/>
  <c r="F98" i="1"/>
  <c r="Y96" i="1"/>
  <c r="M96" i="1"/>
  <c r="H96" i="1"/>
  <c r="F96" i="1"/>
  <c r="E96" i="1"/>
  <c r="Y94" i="1"/>
  <c r="I94" i="1"/>
  <c r="H94" i="1"/>
  <c r="G94" i="1"/>
  <c r="F94" i="1"/>
  <c r="Z92" i="1"/>
  <c r="Y92" i="1"/>
  <c r="H92" i="1"/>
  <c r="G92" i="1"/>
  <c r="Y90" i="1"/>
  <c r="M90" i="1"/>
  <c r="G90" i="1"/>
  <c r="Y88" i="1"/>
  <c r="H88" i="1"/>
  <c r="E88" i="1"/>
  <c r="Y86" i="1"/>
  <c r="M86" i="1"/>
  <c r="G86" i="1"/>
  <c r="Y82" i="1"/>
  <c r="M82" i="1"/>
  <c r="J82" i="1"/>
  <c r="H82" i="1"/>
  <c r="G82" i="1"/>
  <c r="F82" i="1"/>
  <c r="Y80" i="1"/>
  <c r="N80" i="1"/>
  <c r="M80" i="1"/>
  <c r="H80" i="1"/>
  <c r="G80" i="1"/>
  <c r="Y78" i="1"/>
  <c r="N78" i="1"/>
  <c r="M78" i="1"/>
  <c r="I78" i="1"/>
  <c r="H78" i="1"/>
  <c r="G78" i="1"/>
  <c r="Z76" i="1"/>
  <c r="Y76" i="1"/>
  <c r="I76" i="1"/>
  <c r="H76" i="1"/>
  <c r="F76" i="1"/>
  <c r="Y74" i="1"/>
  <c r="N74" i="1"/>
  <c r="F74" i="1"/>
  <c r="Y72" i="1"/>
  <c r="M72" i="1"/>
  <c r="J72" i="1"/>
  <c r="G72" i="1"/>
  <c r="Y70" i="1"/>
  <c r="M70" i="1"/>
  <c r="H70" i="1"/>
  <c r="G70" i="1"/>
  <c r="Y68" i="1"/>
  <c r="N68" i="1"/>
  <c r="M68" i="1"/>
  <c r="I68" i="1"/>
  <c r="H68" i="1"/>
  <c r="F68" i="1"/>
  <c r="Y66" i="1"/>
  <c r="M66" i="1"/>
  <c r="H66" i="1"/>
  <c r="G66" i="1"/>
  <c r="Y64" i="1"/>
  <c r="M64" i="1"/>
  <c r="H64" i="1"/>
  <c r="G64" i="1"/>
  <c r="Y62" i="1"/>
  <c r="M62" i="1"/>
  <c r="G62" i="1"/>
  <c r="Y60" i="1"/>
  <c r="M60" i="1"/>
  <c r="G60" i="1"/>
  <c r="Y56" i="1"/>
  <c r="M56" i="1"/>
  <c r="I56" i="1"/>
  <c r="H56" i="1"/>
  <c r="G56" i="1"/>
  <c r="I54" i="1"/>
  <c r="Y52" i="1"/>
  <c r="M52" i="1"/>
  <c r="G52" i="1"/>
  <c r="Y50" i="1"/>
  <c r="M50" i="1"/>
  <c r="H50" i="1"/>
  <c r="G50" i="1"/>
  <c r="Y48" i="1"/>
  <c r="N48" i="1"/>
  <c r="M48" i="1"/>
  <c r="G48" i="1"/>
  <c r="Y46" i="1"/>
  <c r="M46" i="1"/>
  <c r="H46" i="1"/>
  <c r="D46" i="1"/>
  <c r="Y44" i="1"/>
  <c r="M44" i="1"/>
  <c r="I44" i="1"/>
  <c r="H44" i="1"/>
  <c r="G44" i="1"/>
  <c r="D44" i="1"/>
  <c r="Y38" i="1"/>
  <c r="J38" i="1"/>
  <c r="H38" i="1"/>
  <c r="G38" i="1"/>
  <c r="F38" i="1"/>
  <c r="Y36" i="1"/>
  <c r="Y32" i="1"/>
  <c r="M32" i="1"/>
  <c r="G32" i="1"/>
  <c r="Y30" i="1"/>
  <c r="M30" i="1"/>
  <c r="H30" i="1"/>
  <c r="Y28" i="1"/>
  <c r="H28" i="1"/>
  <c r="F28" i="1"/>
  <c r="Y26" i="1"/>
  <c r="N26" i="1"/>
  <c r="M26" i="1"/>
  <c r="H26" i="1"/>
  <c r="G26" i="1"/>
  <c r="Y24" i="1"/>
  <c r="M24" i="1"/>
  <c r="H24" i="1"/>
  <c r="F24" i="1"/>
  <c r="AC22" i="1"/>
  <c r="Y22" i="1"/>
  <c r="M22" i="1"/>
  <c r="J22" i="1"/>
  <c r="I22" i="1"/>
  <c r="H22" i="1"/>
  <c r="G22" i="1"/>
  <c r="Y20" i="1"/>
  <c r="L20" i="1"/>
  <c r="I20" i="1"/>
  <c r="H20" i="1"/>
  <c r="D20" i="1"/>
  <c r="Y18" i="1"/>
  <c r="J18" i="1"/>
  <c r="H18" i="1"/>
  <c r="G18" i="1"/>
  <c r="F18" i="1"/>
  <c r="Y16" i="1"/>
  <c r="M16" i="1"/>
  <c r="J16" i="1"/>
  <c r="G16" i="1"/>
  <c r="Y14" i="1"/>
  <c r="M14" i="1"/>
  <c r="G14" i="1"/>
  <c r="F14" i="1"/>
  <c r="Y12" i="1"/>
  <c r="H12" i="1"/>
  <c r="F12" i="1"/>
  <c r="E12" i="1"/>
  <c r="Y10" i="1"/>
  <c r="H10" i="1"/>
  <c r="G10" i="1"/>
  <c r="Y8" i="1"/>
  <c r="Y6" i="1"/>
  <c r="X6" i="1"/>
  <c r="M6" i="1"/>
  <c r="G6" i="1"/>
  <c r="Y4" i="1"/>
  <c r="M4" i="1"/>
  <c r="J4" i="1"/>
  <c r="H4" i="1"/>
  <c r="F4" i="1"/>
</calcChain>
</file>

<file path=xl/sharedStrings.xml><?xml version="1.0" encoding="utf-8"?>
<sst xmlns="http://schemas.openxmlformats.org/spreadsheetml/2006/main" count="208" uniqueCount="146">
  <si>
    <t>2025年闵行区市政道路标线复线工程量清单</t>
  </si>
  <si>
    <t>序号</t>
  </si>
  <si>
    <t>路名</t>
  </si>
  <si>
    <t>起止地点</t>
  </si>
  <si>
    <t>中  心  线   （公里）</t>
  </si>
  <si>
    <t>分界、边缘线（公里）</t>
  </si>
  <si>
    <t>待转区(公里) 
1×1</t>
  </si>
  <si>
    <t>待转区箭头(3m)只</t>
  </si>
  <si>
    <t>引导线(1×1)(公里)</t>
  </si>
  <si>
    <t>公交专用线
（公里）</t>
  </si>
  <si>
    <t>箭   头        （只）</t>
  </si>
  <si>
    <t>文字（1.5*2）</t>
  </si>
  <si>
    <t>停车线及横道线（m2）</t>
  </si>
  <si>
    <t>导流（m2）</t>
  </si>
  <si>
    <t>纵向减速线（m2）</t>
  </si>
  <si>
    <t>菱形(2m)</t>
  </si>
  <si>
    <t>道口网格线（m2）</t>
  </si>
  <si>
    <t>备注</t>
  </si>
  <si>
    <t>实线(黄)</t>
  </si>
  <si>
    <t>单虚线
 4×6</t>
  </si>
  <si>
    <t>单虚线      2×4</t>
  </si>
  <si>
    <t>单虚线(车道线)          6×9</t>
  </si>
  <si>
    <t>单实线(机非线含车道实线）</t>
  </si>
  <si>
    <t>边缘线</t>
  </si>
  <si>
    <t>实线（40cm）</t>
  </si>
  <si>
    <t>虚线4*4（40cm）</t>
  </si>
  <si>
    <t>直行(6m)</t>
  </si>
  <si>
    <t>右转(6m)</t>
  </si>
  <si>
    <t>左转(6m)</t>
  </si>
  <si>
    <t>直行右转(6m)</t>
  </si>
  <si>
    <t>直行左转(6m)</t>
  </si>
  <si>
    <t>双向(6m)</t>
  </si>
  <si>
    <t>直行转弯加掉头(6m)</t>
  </si>
  <si>
    <t>禁止掉头(6m)</t>
  </si>
  <si>
    <t>掉头(6m)</t>
  </si>
  <si>
    <t>沪闵路</t>
  </si>
  <si>
    <t>剑川路</t>
  </si>
  <si>
    <t>渡口</t>
  </si>
  <si>
    <t>龙吴路</t>
  </si>
  <si>
    <t>景联路</t>
  </si>
  <si>
    <t>江川东路</t>
  </si>
  <si>
    <t>宝城路</t>
  </si>
  <si>
    <t>莘建东路</t>
  </si>
  <si>
    <t>春申路</t>
  </si>
  <si>
    <t>宝铭路</t>
  </si>
  <si>
    <t>新镇路</t>
  </si>
  <si>
    <t>七莘路</t>
  </si>
  <si>
    <t>碧溪路</t>
  </si>
  <si>
    <t>古永路</t>
  </si>
  <si>
    <t>东川路</t>
  </si>
  <si>
    <t>通海路</t>
  </si>
  <si>
    <t>淡水河东</t>
  </si>
  <si>
    <t>临沧路</t>
  </si>
  <si>
    <t>汇江路</t>
  </si>
  <si>
    <t>都市路</t>
  </si>
  <si>
    <t>梅陇西路</t>
  </si>
  <si>
    <t>元江路</t>
  </si>
  <si>
    <t>闵吴支线北侧街坊路</t>
  </si>
  <si>
    <t>都会路</t>
  </si>
  <si>
    <t>金都路</t>
  </si>
  <si>
    <t>颛兴东路</t>
  </si>
  <si>
    <t>放鹤路</t>
  </si>
  <si>
    <t>铁路闵吴支线</t>
  </si>
  <si>
    <t>华宁路</t>
  </si>
  <si>
    <t>江川路</t>
  </si>
  <si>
    <t>汇驰路</t>
  </si>
  <si>
    <t>浦连路</t>
  </si>
  <si>
    <t>盐铁塘</t>
  </si>
  <si>
    <t>先新路</t>
  </si>
  <si>
    <t>贡山路</t>
  </si>
  <si>
    <t>荷巷桥</t>
  </si>
  <si>
    <t>虹梅南路</t>
  </si>
  <si>
    <t>紫星路</t>
  </si>
  <si>
    <t>江桦路</t>
  </si>
  <si>
    <t>浦星公路</t>
  </si>
  <si>
    <t>浦瑞路</t>
  </si>
  <si>
    <t>江月路</t>
  </si>
  <si>
    <t>飞燕路</t>
  </si>
  <si>
    <t>江汉路</t>
  </si>
  <si>
    <t>浦锦南路</t>
  </si>
  <si>
    <t>浦业路</t>
  </si>
  <si>
    <t>昆阳路</t>
  </si>
  <si>
    <t xml:space="preserve"> 黄浦江</t>
  </si>
  <si>
    <t>联航路</t>
  </si>
  <si>
    <t>浦秀路</t>
  </si>
  <si>
    <t>浦鸥路</t>
  </si>
  <si>
    <t>鲁建路</t>
  </si>
  <si>
    <t>闵瑞路</t>
  </si>
  <si>
    <t>召楼路</t>
  </si>
  <si>
    <t>闵北路</t>
  </si>
  <si>
    <t>纪翟路</t>
  </si>
  <si>
    <t>规划六路</t>
  </si>
  <si>
    <t>盐铁路</t>
  </si>
  <si>
    <t>鲁南路</t>
  </si>
  <si>
    <t>丰收河</t>
  </si>
  <si>
    <t>江龙路</t>
  </si>
  <si>
    <t>浦锦路</t>
  </si>
  <si>
    <t>芦桓路</t>
  </si>
  <si>
    <t>浦锦北路</t>
  </si>
  <si>
    <t>江松路</t>
  </si>
  <si>
    <t>芦恒路</t>
  </si>
  <si>
    <t>浦申路</t>
  </si>
  <si>
    <t>芦胜河</t>
  </si>
  <si>
    <t>南江榉路</t>
  </si>
  <si>
    <t>陈行公路</t>
  </si>
  <si>
    <t>南江洲路</t>
  </si>
  <si>
    <t>瑞丽路</t>
  </si>
  <si>
    <t>水清路</t>
  </si>
  <si>
    <t>顾戴路</t>
  </si>
  <si>
    <t>文井路</t>
  </si>
  <si>
    <t>下关路</t>
  </si>
  <si>
    <t>三鲁路</t>
  </si>
  <si>
    <t>永颂路西</t>
  </si>
  <si>
    <t>西环路</t>
  </si>
  <si>
    <t>南辅路</t>
  </si>
  <si>
    <t>莘浜路</t>
  </si>
  <si>
    <t>莘松路</t>
  </si>
  <si>
    <t>铁路下立交东端</t>
  </si>
  <si>
    <t>区界</t>
  </si>
  <si>
    <t>莘朱路</t>
  </si>
  <si>
    <t>A4出口</t>
  </si>
  <si>
    <t>沪杭铁路</t>
  </si>
  <si>
    <t>漕宝路</t>
  </si>
  <si>
    <t>吴中路</t>
  </si>
  <si>
    <t>景东路</t>
  </si>
  <si>
    <t>中春路</t>
  </si>
  <si>
    <t>淀浦河南</t>
  </si>
  <si>
    <t>沪杭高速北</t>
  </si>
  <si>
    <t>昌林路</t>
  </si>
  <si>
    <t>丰收路</t>
  </si>
  <si>
    <t>恒南路</t>
  </si>
  <si>
    <t>丰南路</t>
  </si>
  <si>
    <t>金光路</t>
  </si>
  <si>
    <t>北青公路</t>
  </si>
  <si>
    <t>朱建路</t>
  </si>
  <si>
    <t>纪潭路</t>
  </si>
  <si>
    <t>纪宏路</t>
  </si>
  <si>
    <t>潭竹路</t>
  </si>
  <si>
    <t>莲花南路</t>
  </si>
  <si>
    <t>绥宁路</t>
  </si>
  <si>
    <t>吴淞江南岸</t>
  </si>
  <si>
    <t>区界（北翟路以北390米）</t>
  </si>
  <si>
    <t>汇臻路</t>
  </si>
  <si>
    <t>跃进河北</t>
  </si>
  <si>
    <t>浦东区界</t>
  </si>
  <si>
    <t>高压走廊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</si>
</sst>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NumberFormat="1" applyFont="1">
      <alignment vertical="center"/>
    </xf>
    <xf numFmtId="0" fontId="2" fillId="0" borderId="0" xfId="0" applyNumberFormat="1" applyFont="1" applyFill="1">
      <alignment vertical="center"/>
    </xf>
    <xf numFmtId="0" fontId="5" fillId="0" borderId="6" xfId="5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right" vertical="center"/>
    </xf>
    <xf numFmtId="0" fontId="1" fillId="0" borderId="6" xfId="2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6" xfId="2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vertical="center"/>
    </xf>
    <xf numFmtId="0" fontId="5" fillId="0" borderId="1" xfId="1" applyNumberFormat="1" applyFont="1" applyFill="1" applyBorder="1">
      <alignment vertical="center"/>
    </xf>
    <xf numFmtId="0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right" vertical="center" wrapText="1"/>
    </xf>
    <xf numFmtId="0" fontId="1" fillId="0" borderId="6" xfId="0" applyNumberFormat="1" applyFont="1" applyFill="1" applyBorder="1" applyAlignment="1">
      <alignment vertical="top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2" xfId="5" applyNumberFormat="1" applyFont="1" applyFill="1" applyBorder="1" applyAlignment="1">
      <alignment horizontal="center" vertical="center" wrapText="1"/>
    </xf>
    <xf numFmtId="0" fontId="5" fillId="0" borderId="3" xfId="5" applyNumberFormat="1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>
      <alignment horizontal="center" vertical="center" wrapText="1"/>
    </xf>
    <xf numFmtId="0" fontId="5" fillId="0" borderId="5" xfId="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5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7" applyNumberFormat="1" applyFont="1" applyFill="1" applyBorder="1" applyAlignment="1">
      <alignment horizontal="center" vertical="center"/>
    </xf>
    <xf numFmtId="0" fontId="5" fillId="0" borderId="5" xfId="7" applyNumberFormat="1" applyFont="1" applyFill="1" applyBorder="1" applyAlignment="1">
      <alignment horizontal="center" vertical="center"/>
    </xf>
    <xf numFmtId="0" fontId="5" fillId="0" borderId="3" xfId="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5" xfId="3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6" xfId="3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5" fillId="0" borderId="1" xfId="9" applyNumberFormat="1" applyFont="1" applyFill="1" applyBorder="1" applyAlignment="1">
      <alignment horizontal="center" vertical="center"/>
    </xf>
    <xf numFmtId="0" fontId="5" fillId="0" borderId="5" xfId="9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5" xfId="6" applyNumberFormat="1" applyFont="1" applyFill="1" applyBorder="1" applyAlignment="1">
      <alignment horizontal="center" vertical="center"/>
    </xf>
    <xf numFmtId="0" fontId="1" fillId="0" borderId="7" xfId="8" applyNumberFormat="1" applyFont="1" applyFill="1" applyBorder="1" applyAlignment="1">
      <alignment horizontal="center" vertical="center"/>
    </xf>
    <xf numFmtId="0" fontId="1" fillId="0" borderId="5" xfId="8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2" xfId="9"/>
    <cellStyle name="常规 2 2 2" xfId="1"/>
    <cellStyle name="常规 2 3" xfId="3"/>
    <cellStyle name="常规 2 6" xfId="4"/>
    <cellStyle name="常规 3 3" xfId="2"/>
    <cellStyle name="常规 4" xfId="8"/>
    <cellStyle name="常规 4 3" xfId="6"/>
    <cellStyle name="常规 7" xfId="7"/>
    <cellStyle name="常规_Sheet1_普陀区冷漆" xfId="5"/>
  </cellStyles>
  <dxfs count="0"/>
  <tableStyles count="0" defaultTableStyle="TableStyleMedium2" defaultPivotStyle="PivotStyleLight16"/>
  <colors>
    <mruColors>
      <color rgb="FFF55F94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tabSelected="1" workbookViewId="0">
      <pane ySplit="3" topLeftCell="A4" activePane="bottomLeft" state="frozen"/>
      <selection pane="bottomLeft" sqref="A1:AD1"/>
    </sheetView>
  </sheetViews>
  <sheetFormatPr defaultColWidth="9" defaultRowHeight="10.5" x14ac:dyDescent="0.15"/>
  <cols>
    <col min="1" max="1" width="3.75" style="1" customWidth="1"/>
    <col min="2" max="2" width="5.625" style="2" customWidth="1"/>
    <col min="3" max="3" width="7.5" style="3" customWidth="1"/>
    <col min="4" max="4" width="8" style="4" customWidth="1"/>
    <col min="5" max="5" width="6.75" style="4" customWidth="1"/>
    <col min="6" max="6" width="9.875" style="4" customWidth="1"/>
    <col min="7" max="8" width="9" style="4" customWidth="1"/>
    <col min="9" max="9" width="7.5" style="4" customWidth="1"/>
    <col min="10" max="14" width="6.25" style="4" customWidth="1"/>
    <col min="15" max="15" width="5.875" style="4" customWidth="1"/>
    <col min="16" max="16" width="5.25" style="4" customWidth="1"/>
    <col min="17" max="17" width="5.875" style="4" customWidth="1"/>
    <col min="18" max="18" width="5.625" style="4" customWidth="1"/>
    <col min="19" max="19" width="8.125" style="4" customWidth="1"/>
    <col min="20" max="20" width="5.25" style="4" customWidth="1"/>
    <col min="21" max="21" width="8" style="4" customWidth="1"/>
    <col min="22" max="23" width="5.25" style="4" customWidth="1"/>
    <col min="24" max="24" width="6.125" style="4" customWidth="1"/>
    <col min="25" max="25" width="7.875" style="5" customWidth="1"/>
    <col min="26" max="28" width="6" style="4" customWidth="1"/>
    <col min="29" max="29" width="6" style="6" customWidth="1"/>
    <col min="30" max="30" width="9.25" style="7" customWidth="1"/>
    <col min="31" max="16384" width="9" style="4"/>
  </cols>
  <sheetData>
    <row r="1" spans="1:30" ht="41.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26.1" customHeight="1" x14ac:dyDescent="0.15">
      <c r="A2" s="39" t="s">
        <v>1</v>
      </c>
      <c r="B2" s="39" t="s">
        <v>2</v>
      </c>
      <c r="C2" s="39" t="s">
        <v>3</v>
      </c>
      <c r="D2" s="36" t="s">
        <v>4</v>
      </c>
      <c r="E2" s="37"/>
      <c r="F2" s="36" t="s">
        <v>5</v>
      </c>
      <c r="G2" s="38"/>
      <c r="H2" s="38"/>
      <c r="I2" s="37"/>
      <c r="J2" s="39" t="s">
        <v>6</v>
      </c>
      <c r="K2" s="39" t="s">
        <v>7</v>
      </c>
      <c r="L2" s="39" t="s">
        <v>8</v>
      </c>
      <c r="M2" s="36" t="s">
        <v>9</v>
      </c>
      <c r="N2" s="37"/>
      <c r="O2" s="36" t="s">
        <v>10</v>
      </c>
      <c r="P2" s="38"/>
      <c r="Q2" s="38"/>
      <c r="R2" s="38"/>
      <c r="S2" s="38"/>
      <c r="T2" s="38"/>
      <c r="U2" s="38"/>
      <c r="V2" s="38"/>
      <c r="W2" s="37"/>
      <c r="X2" s="39" t="s">
        <v>11</v>
      </c>
      <c r="Y2" s="39" t="s">
        <v>12</v>
      </c>
      <c r="Z2" s="39" t="s">
        <v>13</v>
      </c>
      <c r="AA2" s="39" t="s">
        <v>14</v>
      </c>
      <c r="AB2" s="39" t="s">
        <v>15</v>
      </c>
      <c r="AC2" s="39" t="s">
        <v>16</v>
      </c>
      <c r="AD2" s="39" t="s">
        <v>17</v>
      </c>
    </row>
    <row r="3" spans="1:30" ht="31.5" x14ac:dyDescent="0.15">
      <c r="A3" s="40"/>
      <c r="B3" s="40"/>
      <c r="C3" s="40"/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40"/>
      <c r="K3" s="40"/>
      <c r="L3" s="40"/>
      <c r="M3" s="8" t="s">
        <v>24</v>
      </c>
      <c r="N3" s="8" t="s">
        <v>25</v>
      </c>
      <c r="O3" s="8" t="s">
        <v>26</v>
      </c>
      <c r="P3" s="8" t="s">
        <v>27</v>
      </c>
      <c r="Q3" s="8" t="s">
        <v>28</v>
      </c>
      <c r="R3" s="8" t="s">
        <v>29</v>
      </c>
      <c r="S3" s="8" t="s">
        <v>30</v>
      </c>
      <c r="T3" s="8" t="s">
        <v>31</v>
      </c>
      <c r="U3" s="8" t="s">
        <v>32</v>
      </c>
      <c r="V3" s="8" t="s">
        <v>33</v>
      </c>
      <c r="W3" s="8" t="s">
        <v>34</v>
      </c>
      <c r="X3" s="40"/>
      <c r="Y3" s="40"/>
      <c r="Z3" s="40"/>
      <c r="AA3" s="40"/>
      <c r="AB3" s="40"/>
      <c r="AC3" s="40"/>
      <c r="AD3" s="40"/>
    </row>
    <row r="4" spans="1:30" ht="11.1" customHeight="1" x14ac:dyDescent="0.15">
      <c r="A4" s="41">
        <v>1</v>
      </c>
      <c r="B4" s="46" t="s">
        <v>35</v>
      </c>
      <c r="C4" s="9" t="s">
        <v>36</v>
      </c>
      <c r="D4" s="51">
        <v>4.798</v>
      </c>
      <c r="E4" s="58"/>
      <c r="F4" s="58">
        <f>2.12/2*6</f>
        <v>6.36</v>
      </c>
      <c r="G4" s="58"/>
      <c r="H4" s="55">
        <f>0.871+3.774</f>
        <v>4.6449999999999996</v>
      </c>
      <c r="I4" s="55"/>
      <c r="J4" s="55">
        <f>29.25+2.55</f>
        <v>31.8</v>
      </c>
      <c r="K4" s="55">
        <v>4</v>
      </c>
      <c r="L4" s="55">
        <v>11.25</v>
      </c>
      <c r="M4" s="58">
        <f>0.345/2</f>
        <v>0.17249999999999999</v>
      </c>
      <c r="N4" s="58">
        <v>0.34499999999999997</v>
      </c>
      <c r="O4" s="58">
        <v>61</v>
      </c>
      <c r="P4" s="58">
        <v>21</v>
      </c>
      <c r="Q4" s="58">
        <v>24</v>
      </c>
      <c r="R4" s="58">
        <v>14</v>
      </c>
      <c r="S4" s="58">
        <v>22</v>
      </c>
      <c r="T4" s="58">
        <v>1</v>
      </c>
      <c r="U4" s="58">
        <v>2</v>
      </c>
      <c r="V4" s="58">
        <v>16</v>
      </c>
      <c r="W4" s="58">
        <v>2</v>
      </c>
      <c r="X4" s="44">
        <v>8</v>
      </c>
      <c r="Y4" s="44">
        <f>912.4+827.2+108.4</f>
        <v>1848</v>
      </c>
      <c r="Z4" s="44">
        <v>62.4</v>
      </c>
      <c r="AA4" s="44"/>
      <c r="AB4" s="44"/>
      <c r="AC4" s="45"/>
      <c r="AD4" s="45"/>
    </row>
    <row r="5" spans="1:30" ht="11.1" customHeight="1" x14ac:dyDescent="0.15">
      <c r="A5" s="42"/>
      <c r="B5" s="47"/>
      <c r="C5" s="10" t="s">
        <v>37</v>
      </c>
      <c r="D5" s="51"/>
      <c r="E5" s="58"/>
      <c r="F5" s="58"/>
      <c r="G5" s="58"/>
      <c r="H5" s="57"/>
      <c r="I5" s="57"/>
      <c r="J5" s="57"/>
      <c r="K5" s="57"/>
      <c r="L5" s="57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44"/>
      <c r="Y5" s="44"/>
      <c r="Z5" s="44"/>
      <c r="AA5" s="44"/>
      <c r="AB5" s="44"/>
      <c r="AC5" s="45"/>
      <c r="AD5" s="45"/>
    </row>
    <row r="6" spans="1:30" ht="11.1" customHeight="1" x14ac:dyDescent="0.15">
      <c r="A6" s="41">
        <v>2</v>
      </c>
      <c r="B6" s="46" t="s">
        <v>38</v>
      </c>
      <c r="C6" s="11" t="s">
        <v>39</v>
      </c>
      <c r="D6" s="51">
        <v>1.365</v>
      </c>
      <c r="E6" s="58"/>
      <c r="F6" s="58"/>
      <c r="G6" s="58">
        <f>4.998/6*15</f>
        <v>12.494999999999999</v>
      </c>
      <c r="H6" s="55">
        <v>2.0910000000000002</v>
      </c>
      <c r="I6" s="55">
        <v>20.058</v>
      </c>
      <c r="J6" s="58">
        <v>22.65</v>
      </c>
      <c r="K6" s="55">
        <v>8</v>
      </c>
      <c r="L6" s="55"/>
      <c r="M6" s="58">
        <f>1.092/2</f>
        <v>0.54600000000000004</v>
      </c>
      <c r="N6" s="58">
        <v>1.0920000000000001</v>
      </c>
      <c r="O6" s="74">
        <v>80</v>
      </c>
      <c r="P6" s="58">
        <v>7</v>
      </c>
      <c r="Q6" s="58">
        <v>53</v>
      </c>
      <c r="R6" s="58">
        <v>76</v>
      </c>
      <c r="S6" s="58">
        <v>27</v>
      </c>
      <c r="T6" s="44"/>
      <c r="U6" s="44"/>
      <c r="V6" s="44">
        <v>3</v>
      </c>
      <c r="W6" s="44"/>
      <c r="X6" s="44">
        <f>9+7+32</f>
        <v>48</v>
      </c>
      <c r="Y6" s="44">
        <f>2237.6+1009.2+260+225</f>
        <v>3731.8</v>
      </c>
      <c r="Z6" s="44">
        <v>53.2</v>
      </c>
      <c r="AA6" s="44">
        <v>129.6</v>
      </c>
      <c r="AB6" s="44">
        <v>88</v>
      </c>
      <c r="AC6" s="79"/>
      <c r="AD6" s="45"/>
    </row>
    <row r="7" spans="1:30" ht="11.1" customHeight="1" x14ac:dyDescent="0.15">
      <c r="A7" s="42"/>
      <c r="B7" s="48"/>
      <c r="C7" s="12" t="s">
        <v>40</v>
      </c>
      <c r="D7" s="51"/>
      <c r="E7" s="58"/>
      <c r="F7" s="58"/>
      <c r="G7" s="58"/>
      <c r="H7" s="57"/>
      <c r="I7" s="57"/>
      <c r="J7" s="58"/>
      <c r="K7" s="57"/>
      <c r="L7" s="57"/>
      <c r="M7" s="58"/>
      <c r="N7" s="58"/>
      <c r="O7" s="74"/>
      <c r="P7" s="58"/>
      <c r="Q7" s="58"/>
      <c r="R7" s="58"/>
      <c r="S7" s="58"/>
      <c r="T7" s="44"/>
      <c r="U7" s="44"/>
      <c r="V7" s="44"/>
      <c r="W7" s="44"/>
      <c r="X7" s="44"/>
      <c r="Y7" s="44"/>
      <c r="Z7" s="44"/>
      <c r="AA7" s="44"/>
      <c r="AB7" s="44"/>
      <c r="AC7" s="80"/>
      <c r="AD7" s="45"/>
    </row>
    <row r="8" spans="1:30" ht="11.1" customHeight="1" x14ac:dyDescent="0.15">
      <c r="A8" s="41">
        <v>3</v>
      </c>
      <c r="B8" s="46" t="s">
        <v>41</v>
      </c>
      <c r="C8" s="11" t="s">
        <v>42</v>
      </c>
      <c r="D8" s="52">
        <v>1.361</v>
      </c>
      <c r="E8" s="52"/>
      <c r="F8" s="52"/>
      <c r="G8" s="52"/>
      <c r="H8" s="52">
        <v>0.93200000000000005</v>
      </c>
      <c r="I8" s="52">
        <v>2.532</v>
      </c>
      <c r="J8" s="52">
        <v>3.45</v>
      </c>
      <c r="K8" s="52">
        <v>4</v>
      </c>
      <c r="L8" s="52"/>
      <c r="M8" s="52"/>
      <c r="N8" s="52"/>
      <c r="O8" s="52">
        <v>16</v>
      </c>
      <c r="P8" s="52">
        <v>3</v>
      </c>
      <c r="Q8" s="52">
        <v>14</v>
      </c>
      <c r="R8" s="52">
        <v>12</v>
      </c>
      <c r="S8" s="52">
        <v>9</v>
      </c>
      <c r="T8" s="52"/>
      <c r="U8" s="52">
        <v>2</v>
      </c>
      <c r="V8" s="52"/>
      <c r="W8" s="52"/>
      <c r="X8" s="44"/>
      <c r="Y8" s="75">
        <f>530.4+46.4</f>
        <v>576.79999999999995</v>
      </c>
      <c r="Z8" s="75"/>
      <c r="AA8" s="75"/>
      <c r="AB8" s="75">
        <v>10</v>
      </c>
      <c r="AC8" s="79"/>
      <c r="AD8" s="44"/>
    </row>
    <row r="9" spans="1:30" ht="11.1" customHeight="1" x14ac:dyDescent="0.15">
      <c r="A9" s="42"/>
      <c r="B9" s="48"/>
      <c r="C9" s="12" t="s">
        <v>43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4"/>
      <c r="Y9" s="76"/>
      <c r="Z9" s="76"/>
      <c r="AA9" s="76"/>
      <c r="AB9" s="76"/>
      <c r="AC9" s="80"/>
      <c r="AD9" s="44"/>
    </row>
    <row r="10" spans="1:30" ht="11.1" customHeight="1" x14ac:dyDescent="0.15">
      <c r="A10" s="41">
        <v>4</v>
      </c>
      <c r="B10" s="46" t="s">
        <v>44</v>
      </c>
      <c r="C10" s="9" t="s">
        <v>45</v>
      </c>
      <c r="D10" s="51"/>
      <c r="E10" s="51"/>
      <c r="F10" s="51"/>
      <c r="G10" s="51">
        <f>0.582/6*15</f>
        <v>1.4550000000000001</v>
      </c>
      <c r="H10" s="51">
        <f>0.145+2.57</f>
        <v>2.7149999999999999</v>
      </c>
      <c r="I10" s="51"/>
      <c r="J10" s="51"/>
      <c r="K10" s="55"/>
      <c r="L10" s="51"/>
      <c r="M10" s="51">
        <v>4.2999999999999997E-2</v>
      </c>
      <c r="N10" s="51">
        <v>8.5999999999999993E-2</v>
      </c>
      <c r="O10" s="51"/>
      <c r="P10" s="51">
        <v>5</v>
      </c>
      <c r="Q10" s="51">
        <v>7</v>
      </c>
      <c r="R10" s="44"/>
      <c r="S10" s="44"/>
      <c r="T10" s="44"/>
      <c r="U10" s="44"/>
      <c r="V10" s="44"/>
      <c r="W10" s="44"/>
      <c r="X10" s="44"/>
      <c r="Y10" s="44">
        <f>343.2+29.2</f>
        <v>372.4</v>
      </c>
      <c r="Z10" s="44"/>
      <c r="AA10" s="44"/>
      <c r="AB10" s="44">
        <v>8</v>
      </c>
      <c r="AC10" s="79"/>
      <c r="AD10" s="44"/>
    </row>
    <row r="11" spans="1:30" ht="11.1" customHeight="1" x14ac:dyDescent="0.15">
      <c r="A11" s="42"/>
      <c r="B11" s="48"/>
      <c r="C11" s="10" t="s">
        <v>46</v>
      </c>
      <c r="D11" s="51"/>
      <c r="E11" s="51"/>
      <c r="F11" s="51"/>
      <c r="G11" s="51"/>
      <c r="H11" s="51"/>
      <c r="I11" s="51"/>
      <c r="J11" s="51"/>
      <c r="K11" s="57"/>
      <c r="L11" s="51"/>
      <c r="M11" s="51"/>
      <c r="N11" s="51"/>
      <c r="O11" s="51"/>
      <c r="P11" s="51"/>
      <c r="Q11" s="51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80"/>
      <c r="AD11" s="44"/>
    </row>
    <row r="12" spans="1:30" ht="11.1" customHeight="1" x14ac:dyDescent="0.15">
      <c r="A12" s="41">
        <v>5</v>
      </c>
      <c r="B12" s="49" t="s">
        <v>47</v>
      </c>
      <c r="C12" s="13" t="s">
        <v>48</v>
      </c>
      <c r="D12" s="51">
        <v>0.26400000000000001</v>
      </c>
      <c r="E12" s="58">
        <f>0.16/4*10</f>
        <v>0.4</v>
      </c>
      <c r="F12" s="58">
        <f>0.014/2*6</f>
        <v>4.2000000000000003E-2</v>
      </c>
      <c r="G12" s="73"/>
      <c r="H12" s="55">
        <f>0.029+1.226</f>
        <v>1.2549999999999999</v>
      </c>
      <c r="I12" s="55"/>
      <c r="J12" s="58"/>
      <c r="K12" s="55"/>
      <c r="L12" s="55"/>
      <c r="M12" s="58"/>
      <c r="N12" s="58"/>
      <c r="O12" s="58"/>
      <c r="P12" s="58">
        <v>2</v>
      </c>
      <c r="Q12" s="58">
        <v>2</v>
      </c>
      <c r="R12" s="44"/>
      <c r="S12" s="44"/>
      <c r="T12" s="44"/>
      <c r="U12" s="44"/>
      <c r="V12" s="44"/>
      <c r="W12" s="44"/>
      <c r="X12" s="44"/>
      <c r="Y12" s="44">
        <f>132.8+8.4+147.6+15.2</f>
        <v>304</v>
      </c>
      <c r="Z12" s="44"/>
      <c r="AA12" s="44"/>
      <c r="AB12" s="44">
        <v>4</v>
      </c>
      <c r="AC12" s="79"/>
      <c r="AD12" s="45"/>
    </row>
    <row r="13" spans="1:30" ht="11.1" customHeight="1" x14ac:dyDescent="0.15">
      <c r="A13" s="42"/>
      <c r="B13" s="50"/>
      <c r="C13" s="15" t="s">
        <v>49</v>
      </c>
      <c r="D13" s="51"/>
      <c r="E13" s="58"/>
      <c r="F13" s="58"/>
      <c r="G13" s="73"/>
      <c r="H13" s="57"/>
      <c r="I13" s="57"/>
      <c r="J13" s="58"/>
      <c r="K13" s="57"/>
      <c r="L13" s="57"/>
      <c r="M13" s="58"/>
      <c r="N13" s="58"/>
      <c r="O13" s="58"/>
      <c r="P13" s="58"/>
      <c r="Q13" s="58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80"/>
      <c r="AD13" s="45"/>
    </row>
    <row r="14" spans="1:30" ht="11.1" customHeight="1" x14ac:dyDescent="0.15">
      <c r="A14" s="41">
        <v>6</v>
      </c>
      <c r="B14" s="46" t="s">
        <v>49</v>
      </c>
      <c r="C14" s="9" t="s">
        <v>50</v>
      </c>
      <c r="D14" s="44">
        <v>3.26</v>
      </c>
      <c r="E14" s="44"/>
      <c r="F14" s="44">
        <f>0.51/2*6</f>
        <v>1.53</v>
      </c>
      <c r="G14" s="58">
        <f>0.96/6*15</f>
        <v>2.4</v>
      </c>
      <c r="H14" s="44">
        <v>0.58399999999999996</v>
      </c>
      <c r="I14" s="44">
        <v>2.3519999999999999</v>
      </c>
      <c r="J14" s="44">
        <v>9.6</v>
      </c>
      <c r="K14" s="44">
        <v>4</v>
      </c>
      <c r="L14" s="44">
        <v>5.4</v>
      </c>
      <c r="M14" s="44">
        <f>0.48/2</f>
        <v>0.24</v>
      </c>
      <c r="N14" s="44">
        <v>0.48</v>
      </c>
      <c r="O14" s="44">
        <v>35</v>
      </c>
      <c r="P14" s="44">
        <v>7</v>
      </c>
      <c r="Q14" s="44">
        <v>19</v>
      </c>
      <c r="R14" s="44">
        <v>17</v>
      </c>
      <c r="S14" s="44">
        <v>8</v>
      </c>
      <c r="T14" s="44"/>
      <c r="U14" s="44">
        <v>1</v>
      </c>
      <c r="V14" s="44"/>
      <c r="W14" s="44">
        <v>2</v>
      </c>
      <c r="X14" s="44">
        <v>4</v>
      </c>
      <c r="Y14" s="44">
        <f>250.4+613.6+69.6</f>
        <v>933.6</v>
      </c>
      <c r="Z14" s="44">
        <v>7.6</v>
      </c>
      <c r="AA14" s="44"/>
      <c r="AB14" s="44">
        <v>16</v>
      </c>
      <c r="AC14" s="79"/>
      <c r="AD14" s="45"/>
    </row>
    <row r="15" spans="1:30" ht="11.1" customHeight="1" x14ac:dyDescent="0.15">
      <c r="A15" s="42"/>
      <c r="B15" s="47"/>
      <c r="C15" s="10" t="s">
        <v>51</v>
      </c>
      <c r="D15" s="44"/>
      <c r="E15" s="44"/>
      <c r="F15" s="44"/>
      <c r="G15" s="5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80"/>
      <c r="AD15" s="45"/>
    </row>
    <row r="16" spans="1:30" ht="11.1" customHeight="1" x14ac:dyDescent="0.15">
      <c r="A16" s="42"/>
      <c r="B16" s="47"/>
      <c r="C16" s="9" t="s">
        <v>51</v>
      </c>
      <c r="D16" s="44">
        <v>2.2759999999999998</v>
      </c>
      <c r="E16" s="44"/>
      <c r="F16" s="44"/>
      <c r="G16" s="44">
        <f>3.789/6*15</f>
        <v>9.4725000000000001</v>
      </c>
      <c r="H16" s="44">
        <v>1.7829999999999999</v>
      </c>
      <c r="I16" s="44">
        <v>9.9499999999999993</v>
      </c>
      <c r="J16" s="44">
        <f>54.45+7.35</f>
        <v>61.8</v>
      </c>
      <c r="K16" s="44">
        <v>22</v>
      </c>
      <c r="L16" s="44">
        <v>5.7</v>
      </c>
      <c r="M16" s="44">
        <f>0.442/2</f>
        <v>0.221</v>
      </c>
      <c r="N16" s="44">
        <v>0.442</v>
      </c>
      <c r="O16" s="44">
        <v>80</v>
      </c>
      <c r="P16" s="44">
        <v>9</v>
      </c>
      <c r="Q16" s="44">
        <v>40</v>
      </c>
      <c r="R16" s="44">
        <v>44</v>
      </c>
      <c r="S16" s="44">
        <v>12</v>
      </c>
      <c r="T16" s="44"/>
      <c r="U16" s="44"/>
      <c r="V16" s="44">
        <v>2</v>
      </c>
      <c r="W16" s="44"/>
      <c r="X16" s="44">
        <v>2</v>
      </c>
      <c r="Y16" s="44">
        <f>1466.4+174+124</f>
        <v>1764.4</v>
      </c>
      <c r="Z16" s="44">
        <v>30.8</v>
      </c>
      <c r="AA16" s="44">
        <v>67.2</v>
      </c>
      <c r="AB16" s="44">
        <v>34</v>
      </c>
      <c r="AC16" s="79">
        <v>20</v>
      </c>
      <c r="AD16" s="45"/>
    </row>
    <row r="17" spans="1:30" ht="11.1" customHeight="1" x14ac:dyDescent="0.15">
      <c r="A17" s="42"/>
      <c r="B17" s="47"/>
      <c r="C17" s="10" t="s">
        <v>52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80"/>
      <c r="AD17" s="45"/>
    </row>
    <row r="18" spans="1:30" ht="11.1" customHeight="1" x14ac:dyDescent="0.15">
      <c r="A18" s="42"/>
      <c r="B18" s="47"/>
      <c r="C18" s="9" t="s">
        <v>52</v>
      </c>
      <c r="D18" s="44">
        <v>3.5920000000000001</v>
      </c>
      <c r="E18" s="44"/>
      <c r="F18" s="44">
        <f>1.04/2*6</f>
        <v>3.12</v>
      </c>
      <c r="G18" s="44">
        <f>1.212/6*15</f>
        <v>3.03</v>
      </c>
      <c r="H18" s="44">
        <f>0.98+0.765</f>
        <v>1.7450000000000001</v>
      </c>
      <c r="I18" s="44">
        <v>8.3740000000000006</v>
      </c>
      <c r="J18" s="44">
        <f>9.9+1.2</f>
        <v>11.1</v>
      </c>
      <c r="K18" s="44">
        <v>3</v>
      </c>
      <c r="L18" s="44"/>
      <c r="M18" s="44"/>
      <c r="N18" s="44"/>
      <c r="O18" s="44">
        <v>33</v>
      </c>
      <c r="P18" s="44">
        <v>9</v>
      </c>
      <c r="Q18" s="44">
        <v>18</v>
      </c>
      <c r="R18" s="44">
        <v>36</v>
      </c>
      <c r="S18" s="44">
        <v>15</v>
      </c>
      <c r="T18" s="44"/>
      <c r="U18" s="44"/>
      <c r="V18" s="44"/>
      <c r="W18" s="44"/>
      <c r="X18" s="44">
        <v>1</v>
      </c>
      <c r="Y18" s="44">
        <f>1310.8+123.2</f>
        <v>1434</v>
      </c>
      <c r="Z18" s="44">
        <v>34</v>
      </c>
      <c r="AA18" s="44"/>
      <c r="AB18" s="44">
        <v>30</v>
      </c>
      <c r="AC18" s="79">
        <v>20</v>
      </c>
      <c r="AD18" s="45"/>
    </row>
    <row r="19" spans="1:30" ht="11.1" customHeight="1" x14ac:dyDescent="0.15">
      <c r="A19" s="42"/>
      <c r="B19" s="47"/>
      <c r="C19" s="10" t="s">
        <v>53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80"/>
      <c r="AD19" s="45"/>
    </row>
    <row r="20" spans="1:30" ht="11.1" customHeight="1" x14ac:dyDescent="0.15">
      <c r="A20" s="41">
        <v>7</v>
      </c>
      <c r="B20" s="46" t="s">
        <v>54</v>
      </c>
      <c r="C20" s="9" t="s">
        <v>55</v>
      </c>
      <c r="D20" s="51">
        <f>3.65*2</f>
        <v>7.3</v>
      </c>
      <c r="E20" s="58"/>
      <c r="F20" s="58">
        <v>1.65</v>
      </c>
      <c r="G20" s="58">
        <v>5.9</v>
      </c>
      <c r="H20" s="55">
        <f>2.4</f>
        <v>2.4</v>
      </c>
      <c r="I20" s="55">
        <f>3.15*2</f>
        <v>6.3</v>
      </c>
      <c r="J20" s="58">
        <v>32.64</v>
      </c>
      <c r="K20" s="55">
        <v>10</v>
      </c>
      <c r="L20" s="55">
        <f>15.9*2</f>
        <v>31.8</v>
      </c>
      <c r="M20" s="58">
        <v>0.36</v>
      </c>
      <c r="N20" s="58">
        <v>0.54800000000000004</v>
      </c>
      <c r="O20" s="58">
        <v>95</v>
      </c>
      <c r="P20" s="58">
        <v>15</v>
      </c>
      <c r="Q20" s="58">
        <v>45</v>
      </c>
      <c r="R20" s="58">
        <v>42</v>
      </c>
      <c r="S20" s="58">
        <v>59</v>
      </c>
      <c r="T20" s="58"/>
      <c r="U20" s="58"/>
      <c r="V20" s="58"/>
      <c r="W20" s="44"/>
      <c r="X20" s="44"/>
      <c r="Y20" s="44">
        <f>38*40*2.4+38*15*0.4+217</f>
        <v>4093</v>
      </c>
      <c r="Z20" s="44">
        <v>336</v>
      </c>
      <c r="AA20" s="44">
        <v>36</v>
      </c>
      <c r="AB20" s="44">
        <v>16</v>
      </c>
      <c r="AC20" s="79"/>
      <c r="AD20" s="41"/>
    </row>
    <row r="21" spans="1:30" ht="11.1" customHeight="1" x14ac:dyDescent="0.15">
      <c r="A21" s="42"/>
      <c r="B21" s="47"/>
      <c r="C21" s="10" t="s">
        <v>56</v>
      </c>
      <c r="D21" s="51"/>
      <c r="E21" s="58"/>
      <c r="F21" s="58"/>
      <c r="G21" s="58"/>
      <c r="H21" s="57"/>
      <c r="I21" s="57"/>
      <c r="J21" s="58"/>
      <c r="K21" s="57"/>
      <c r="L21" s="57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44"/>
      <c r="X21" s="44"/>
      <c r="Y21" s="44"/>
      <c r="Z21" s="44"/>
      <c r="AA21" s="44"/>
      <c r="AB21" s="44"/>
      <c r="AC21" s="80"/>
      <c r="AD21" s="42"/>
    </row>
    <row r="22" spans="1:30" ht="11.1" customHeight="1" x14ac:dyDescent="0.15">
      <c r="A22" s="42"/>
      <c r="B22" s="47"/>
      <c r="C22" s="9" t="s">
        <v>56</v>
      </c>
      <c r="D22" s="44">
        <v>4.2670000000000003</v>
      </c>
      <c r="E22" s="56"/>
      <c r="F22" s="56"/>
      <c r="G22" s="56">
        <f>2.606/6*15</f>
        <v>6.5149999999999997</v>
      </c>
      <c r="H22" s="44">
        <f>0.672+1.469</f>
        <v>2.141</v>
      </c>
      <c r="I22" s="56">
        <f>6.512</f>
        <v>6.5119999999999996</v>
      </c>
      <c r="J22" s="56">
        <f>25.05+73.5</f>
        <v>98.55</v>
      </c>
      <c r="K22" s="56">
        <v>16</v>
      </c>
      <c r="L22" s="56"/>
      <c r="M22" s="56">
        <f>0.378/2</f>
        <v>0.189</v>
      </c>
      <c r="N22" s="56">
        <v>0.378</v>
      </c>
      <c r="O22" s="56">
        <v>61</v>
      </c>
      <c r="P22" s="56"/>
      <c r="Q22" s="56">
        <v>27</v>
      </c>
      <c r="R22" s="56">
        <v>32</v>
      </c>
      <c r="S22" s="56">
        <v>5</v>
      </c>
      <c r="T22" s="56">
        <v>3</v>
      </c>
      <c r="U22" s="56">
        <v>4</v>
      </c>
      <c r="V22" s="56"/>
      <c r="W22" s="56"/>
      <c r="X22" s="44"/>
      <c r="Y22" s="77">
        <f>770.4+87.2</f>
        <v>857.6</v>
      </c>
      <c r="Z22" s="77">
        <v>73.2</v>
      </c>
      <c r="AA22" s="77"/>
      <c r="AB22" s="77">
        <v>16</v>
      </c>
      <c r="AC22" s="79">
        <f>48.4+16.8</f>
        <v>65.2</v>
      </c>
      <c r="AD22" s="42"/>
    </row>
    <row r="23" spans="1:30" ht="11.1" customHeight="1" x14ac:dyDescent="0.15">
      <c r="A23" s="42"/>
      <c r="B23" s="47"/>
      <c r="C23" s="16" t="s">
        <v>57</v>
      </c>
      <c r="D23" s="44"/>
      <c r="E23" s="56"/>
      <c r="F23" s="56"/>
      <c r="G23" s="56"/>
      <c r="H23" s="44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44"/>
      <c r="Y23" s="77"/>
      <c r="Z23" s="77"/>
      <c r="AA23" s="77"/>
      <c r="AB23" s="77"/>
      <c r="AC23" s="80"/>
      <c r="AD23" s="43"/>
    </row>
    <row r="24" spans="1:30" ht="11.1" customHeight="1" x14ac:dyDescent="0.15">
      <c r="A24" s="41">
        <v>8</v>
      </c>
      <c r="B24" s="46" t="s">
        <v>58</v>
      </c>
      <c r="C24" s="9" t="s">
        <v>59</v>
      </c>
      <c r="D24" s="51">
        <v>2.5430000000000001</v>
      </c>
      <c r="E24" s="58"/>
      <c r="F24" s="58">
        <f>1106/2*6/1000</f>
        <v>3.3180000000000001</v>
      </c>
      <c r="G24" s="58"/>
      <c r="H24" s="55">
        <f>0.447+1.13</f>
        <v>1.577</v>
      </c>
      <c r="I24" s="55"/>
      <c r="J24" s="58">
        <v>2.7</v>
      </c>
      <c r="K24" s="55">
        <v>2</v>
      </c>
      <c r="L24" s="55"/>
      <c r="M24" s="58">
        <f>85/1000/2</f>
        <v>4.2500000000000003E-2</v>
      </c>
      <c r="N24" s="58">
        <v>8.5000000000000006E-2</v>
      </c>
      <c r="O24" s="58">
        <v>32</v>
      </c>
      <c r="P24" s="58">
        <v>2</v>
      </c>
      <c r="Q24" s="58">
        <v>22</v>
      </c>
      <c r="R24" s="58">
        <v>26</v>
      </c>
      <c r="S24" s="58">
        <v>5</v>
      </c>
      <c r="T24" s="44"/>
      <c r="U24" s="44"/>
      <c r="V24" s="44"/>
      <c r="W24" s="44"/>
      <c r="X24" s="44"/>
      <c r="Y24" s="44">
        <f>777.6+54</f>
        <v>831.6</v>
      </c>
      <c r="Z24" s="44">
        <v>12.4</v>
      </c>
      <c r="AA24" s="44">
        <v>75.599999999999994</v>
      </c>
      <c r="AB24" s="44"/>
      <c r="AC24" s="79"/>
      <c r="AD24" s="41"/>
    </row>
    <row r="25" spans="1:30" ht="11.1" customHeight="1" x14ac:dyDescent="0.15">
      <c r="A25" s="42"/>
      <c r="B25" s="47"/>
      <c r="C25" s="10" t="s">
        <v>60</v>
      </c>
      <c r="D25" s="51"/>
      <c r="E25" s="58"/>
      <c r="F25" s="58"/>
      <c r="G25" s="58"/>
      <c r="H25" s="57"/>
      <c r="I25" s="57"/>
      <c r="J25" s="58"/>
      <c r="K25" s="57"/>
      <c r="L25" s="57"/>
      <c r="M25" s="58"/>
      <c r="N25" s="58"/>
      <c r="O25" s="58"/>
      <c r="P25" s="58"/>
      <c r="Q25" s="58"/>
      <c r="R25" s="58"/>
      <c r="S25" s="58"/>
      <c r="T25" s="44"/>
      <c r="U25" s="44"/>
      <c r="V25" s="44"/>
      <c r="W25" s="44"/>
      <c r="X25" s="44"/>
      <c r="Y25" s="44"/>
      <c r="Z25" s="44"/>
      <c r="AA25" s="44"/>
      <c r="AB25" s="44"/>
      <c r="AC25" s="80"/>
      <c r="AD25" s="42"/>
    </row>
    <row r="26" spans="1:30" ht="11.1" customHeight="1" x14ac:dyDescent="0.15">
      <c r="A26" s="42"/>
      <c r="B26" s="47"/>
      <c r="C26" s="17" t="s">
        <v>60</v>
      </c>
      <c r="D26" s="51">
        <v>6.3079999999999998</v>
      </c>
      <c r="E26" s="51"/>
      <c r="F26" s="51"/>
      <c r="G26" s="51">
        <f>2.484/6*15</f>
        <v>6.21</v>
      </c>
      <c r="H26" s="51">
        <f>4.211</f>
        <v>4.2110000000000003</v>
      </c>
      <c r="I26" s="51"/>
      <c r="J26" s="51">
        <v>13.2</v>
      </c>
      <c r="K26" s="51">
        <v>6</v>
      </c>
      <c r="L26" s="51"/>
      <c r="M26" s="51">
        <f>0.326/2</f>
        <v>0.16300000000000001</v>
      </c>
      <c r="N26" s="51">
        <f>0.326</f>
        <v>0.32600000000000001</v>
      </c>
      <c r="O26" s="51">
        <v>27</v>
      </c>
      <c r="P26" s="51"/>
      <c r="Q26" s="51">
        <v>17</v>
      </c>
      <c r="R26" s="51">
        <v>30</v>
      </c>
      <c r="S26" s="51">
        <v>13</v>
      </c>
      <c r="T26" s="51"/>
      <c r="U26" s="51"/>
      <c r="V26" s="51"/>
      <c r="W26" s="51"/>
      <c r="X26" s="44"/>
      <c r="Y26" s="51">
        <f>1053.6+67.2</f>
        <v>1120.8</v>
      </c>
      <c r="Z26" s="51"/>
      <c r="AA26" s="51"/>
      <c r="AB26" s="51"/>
      <c r="AC26" s="79"/>
      <c r="AD26" s="42"/>
    </row>
    <row r="27" spans="1:30" ht="11.1" customHeight="1" x14ac:dyDescent="0.15">
      <c r="A27" s="42"/>
      <c r="B27" s="47"/>
      <c r="C27" s="10" t="s">
        <v>61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44"/>
      <c r="Y27" s="51"/>
      <c r="Z27" s="51"/>
      <c r="AA27" s="51"/>
      <c r="AB27" s="51"/>
      <c r="AC27" s="80"/>
      <c r="AD27" s="42"/>
    </row>
    <row r="28" spans="1:30" ht="11.1" customHeight="1" x14ac:dyDescent="0.15">
      <c r="A28" s="42"/>
      <c r="B28" s="47"/>
      <c r="C28" s="9" t="s">
        <v>61</v>
      </c>
      <c r="D28" s="54">
        <v>2.552</v>
      </c>
      <c r="E28" s="71"/>
      <c r="F28" s="71">
        <f>0.862/2*6</f>
        <v>2.5859999999999999</v>
      </c>
      <c r="G28" s="71"/>
      <c r="H28" s="71">
        <f>0.245+0.958</f>
        <v>1.2030000000000001</v>
      </c>
      <c r="I28" s="71">
        <v>1.86</v>
      </c>
      <c r="J28" s="71"/>
      <c r="K28" s="71"/>
      <c r="L28" s="71"/>
      <c r="M28" s="71"/>
      <c r="N28" s="71"/>
      <c r="O28" s="71">
        <v>16</v>
      </c>
      <c r="P28" s="71">
        <v>3</v>
      </c>
      <c r="Q28" s="71">
        <v>2</v>
      </c>
      <c r="R28" s="71">
        <v>15</v>
      </c>
      <c r="S28" s="71">
        <v>10</v>
      </c>
      <c r="T28" s="71"/>
      <c r="U28" s="71"/>
      <c r="V28" s="71"/>
      <c r="W28" s="54"/>
      <c r="X28" s="44"/>
      <c r="Y28" s="54">
        <f>412+39.6</f>
        <v>451.6</v>
      </c>
      <c r="Z28" s="54">
        <v>67.8</v>
      </c>
      <c r="AA28" s="54"/>
      <c r="AB28" s="54"/>
      <c r="AC28" s="79"/>
      <c r="AD28" s="42"/>
    </row>
    <row r="29" spans="1:30" ht="11.1" customHeight="1" x14ac:dyDescent="0.15">
      <c r="A29" s="43"/>
      <c r="B29" s="47"/>
      <c r="C29" s="9" t="s">
        <v>62</v>
      </c>
      <c r="D29" s="54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54"/>
      <c r="X29" s="44"/>
      <c r="Y29" s="54"/>
      <c r="Z29" s="54"/>
      <c r="AA29" s="54"/>
      <c r="AB29" s="54"/>
      <c r="AC29" s="80"/>
      <c r="AD29" s="43"/>
    </row>
    <row r="30" spans="1:30" ht="11.1" customHeight="1" x14ac:dyDescent="0.15">
      <c r="A30" s="41">
        <v>9</v>
      </c>
      <c r="B30" s="46" t="s">
        <v>63</v>
      </c>
      <c r="C30" s="9" t="s">
        <v>36</v>
      </c>
      <c r="D30" s="51">
        <v>1.6120000000000001</v>
      </c>
      <c r="E30" s="58"/>
      <c r="F30" s="58"/>
      <c r="G30" s="58"/>
      <c r="H30" s="55">
        <f>0.4+3.229</f>
        <v>3.629</v>
      </c>
      <c r="I30" s="55"/>
      <c r="J30" s="58"/>
      <c r="K30" s="55"/>
      <c r="L30" s="55"/>
      <c r="M30" s="58">
        <f>0.151/2</f>
        <v>7.5499999999999998E-2</v>
      </c>
      <c r="N30" s="58">
        <v>0.151</v>
      </c>
      <c r="O30" s="44">
        <v>10</v>
      </c>
      <c r="P30" s="44">
        <v>10</v>
      </c>
      <c r="Q30" s="44">
        <v>5</v>
      </c>
      <c r="R30" s="44">
        <v>9</v>
      </c>
      <c r="S30" s="44">
        <v>14</v>
      </c>
      <c r="T30" s="44"/>
      <c r="U30" s="44"/>
      <c r="V30" s="44"/>
      <c r="W30" s="44"/>
      <c r="X30" s="44">
        <v>1</v>
      </c>
      <c r="Y30" s="44">
        <f>258.4+473.2+60+5.1+6.6</f>
        <v>803.3</v>
      </c>
      <c r="Z30" s="44"/>
      <c r="AA30" s="44">
        <v>45</v>
      </c>
      <c r="AB30" s="44">
        <v>20</v>
      </c>
      <c r="AC30" s="79"/>
      <c r="AD30" s="45"/>
    </row>
    <row r="31" spans="1:30" ht="11.1" customHeight="1" x14ac:dyDescent="0.15">
      <c r="A31" s="43"/>
      <c r="B31" s="48"/>
      <c r="C31" s="10" t="s">
        <v>64</v>
      </c>
      <c r="D31" s="51"/>
      <c r="E31" s="58"/>
      <c r="F31" s="58"/>
      <c r="G31" s="58"/>
      <c r="H31" s="57"/>
      <c r="I31" s="57"/>
      <c r="J31" s="58"/>
      <c r="K31" s="57"/>
      <c r="L31" s="57"/>
      <c r="M31" s="58"/>
      <c r="N31" s="58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80"/>
      <c r="AD31" s="45"/>
    </row>
    <row r="32" spans="1:30" ht="11.1" customHeight="1" x14ac:dyDescent="0.15">
      <c r="A32" s="41">
        <v>10</v>
      </c>
      <c r="B32" s="46" t="s">
        <v>65</v>
      </c>
      <c r="C32" s="9" t="s">
        <v>66</v>
      </c>
      <c r="D32" s="55"/>
      <c r="E32" s="55"/>
      <c r="F32" s="55"/>
      <c r="G32" s="55">
        <f>1.47/6*15</f>
        <v>3.6749999999999998</v>
      </c>
      <c r="H32" s="55">
        <v>0.91100000000000003</v>
      </c>
      <c r="I32" s="55">
        <v>5.9409999999999998</v>
      </c>
      <c r="J32" s="55"/>
      <c r="K32" s="55"/>
      <c r="L32" s="55"/>
      <c r="M32" s="55">
        <f>0.351/2</f>
        <v>0.17549999999999999</v>
      </c>
      <c r="N32" s="55">
        <v>0.35099999999999998</v>
      </c>
      <c r="O32" s="55">
        <v>53</v>
      </c>
      <c r="P32" s="55">
        <v>15</v>
      </c>
      <c r="Q32" s="55">
        <v>18</v>
      </c>
      <c r="R32" s="55">
        <v>1</v>
      </c>
      <c r="S32" s="55">
        <v>1</v>
      </c>
      <c r="T32" s="55"/>
      <c r="U32" s="55"/>
      <c r="V32" s="55"/>
      <c r="W32" s="55"/>
      <c r="X32" s="55"/>
      <c r="Y32" s="55">
        <f>956+70.4+3.65</f>
        <v>1030.05</v>
      </c>
      <c r="Z32" s="55">
        <v>18.399999999999999</v>
      </c>
      <c r="AA32" s="55"/>
      <c r="AB32" s="55">
        <v>8</v>
      </c>
      <c r="AC32" s="55"/>
      <c r="AD32" s="41"/>
    </row>
    <row r="33" spans="1:30" ht="11.1" customHeight="1" x14ac:dyDescent="0.15">
      <c r="A33" s="42"/>
      <c r="B33" s="47"/>
      <c r="C33" s="10" t="s">
        <v>67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42"/>
    </row>
    <row r="34" spans="1:30" ht="11.1" customHeight="1" x14ac:dyDescent="0.15">
      <c r="A34" s="42"/>
      <c r="B34" s="47"/>
      <c r="C34" s="9" t="s">
        <v>66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42"/>
    </row>
    <row r="35" spans="1:30" ht="11.1" customHeight="1" x14ac:dyDescent="0.15">
      <c r="A35" s="42"/>
      <c r="B35" s="48"/>
      <c r="C35" s="10" t="s">
        <v>68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43"/>
    </row>
    <row r="36" spans="1:30" ht="11.1" customHeight="1" x14ac:dyDescent="0.15">
      <c r="A36" s="41">
        <v>11</v>
      </c>
      <c r="B36" s="46" t="s">
        <v>36</v>
      </c>
      <c r="C36" s="9" t="s">
        <v>69</v>
      </c>
      <c r="D36" s="44">
        <v>0.47</v>
      </c>
      <c r="E36" s="44"/>
      <c r="F36" s="44"/>
      <c r="G36" s="44"/>
      <c r="H36" s="44">
        <v>1.532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>
        <f>301.6+48.8</f>
        <v>350.4</v>
      </c>
      <c r="Z36" s="44"/>
      <c r="AA36" s="44"/>
      <c r="AB36" s="44">
        <v>16</v>
      </c>
      <c r="AC36" s="79"/>
      <c r="AD36" s="44"/>
    </row>
    <row r="37" spans="1:30" ht="11.1" customHeight="1" x14ac:dyDescent="0.15">
      <c r="A37" s="43"/>
      <c r="B37" s="48"/>
      <c r="C37" s="10" t="s">
        <v>38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80"/>
      <c r="AD37" s="44"/>
    </row>
    <row r="38" spans="1:30" ht="11.1" customHeight="1" x14ac:dyDescent="0.15">
      <c r="A38" s="41">
        <v>12</v>
      </c>
      <c r="B38" s="45" t="s">
        <v>64</v>
      </c>
      <c r="C38" s="9" t="s">
        <v>35</v>
      </c>
      <c r="D38" s="58">
        <v>5.71</v>
      </c>
      <c r="E38" s="58"/>
      <c r="F38" s="58">
        <f>0.58/2*6</f>
        <v>1.74</v>
      </c>
      <c r="G38" s="58">
        <f>1.194/6*15</f>
        <v>2.9849999999999999</v>
      </c>
      <c r="H38" s="58">
        <f>0.216+0.999+8.532</f>
        <v>9.7469999999999999</v>
      </c>
      <c r="I38" s="58"/>
      <c r="J38" s="58">
        <f>7.8+5.1</f>
        <v>12.9</v>
      </c>
      <c r="K38" s="58">
        <v>6</v>
      </c>
      <c r="L38" s="58"/>
      <c r="M38" s="58"/>
      <c r="N38" s="58"/>
      <c r="O38" s="58">
        <v>28</v>
      </c>
      <c r="P38" s="58">
        <v>14</v>
      </c>
      <c r="Q38" s="58">
        <v>13</v>
      </c>
      <c r="R38" s="58">
        <v>22</v>
      </c>
      <c r="S38" s="58">
        <v>19</v>
      </c>
      <c r="T38" s="58"/>
      <c r="U38" s="58"/>
      <c r="V38" s="58">
        <v>2</v>
      </c>
      <c r="W38" s="58"/>
      <c r="X38" s="58">
        <v>3</v>
      </c>
      <c r="Y38" s="58">
        <f>162.4+11.6+2122.4+214+175</f>
        <v>2685.4</v>
      </c>
      <c r="Z38" s="58">
        <v>17.2</v>
      </c>
      <c r="AA38" s="58"/>
      <c r="AB38" s="58">
        <v>78</v>
      </c>
      <c r="AC38" s="58"/>
      <c r="AD38" s="81"/>
    </row>
    <row r="39" spans="1:30" ht="11.1" customHeight="1" x14ac:dyDescent="0.15">
      <c r="A39" s="42"/>
      <c r="B39" s="45"/>
      <c r="C39" s="10" t="s">
        <v>63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81"/>
    </row>
    <row r="40" spans="1:30" ht="11.1" customHeight="1" x14ac:dyDescent="0.15">
      <c r="A40" s="42"/>
      <c r="B40" s="45"/>
      <c r="C40" s="9" t="s">
        <v>63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81"/>
    </row>
    <row r="41" spans="1:30" ht="11.1" customHeight="1" x14ac:dyDescent="0.15">
      <c r="A41" s="42"/>
      <c r="B41" s="45"/>
      <c r="C41" s="10" t="s">
        <v>52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81"/>
    </row>
    <row r="42" spans="1:30" ht="11.1" customHeight="1" x14ac:dyDescent="0.15">
      <c r="A42" s="42"/>
      <c r="B42" s="45"/>
      <c r="C42" s="9" t="s">
        <v>52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81"/>
    </row>
    <row r="43" spans="1:30" ht="11.1" customHeight="1" x14ac:dyDescent="0.15">
      <c r="A43" s="42"/>
      <c r="B43" s="45"/>
      <c r="C43" s="10" t="s">
        <v>70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81"/>
    </row>
    <row r="44" spans="1:30" ht="11.1" customHeight="1" x14ac:dyDescent="0.15">
      <c r="A44" s="41">
        <v>13</v>
      </c>
      <c r="B44" s="47" t="s">
        <v>40</v>
      </c>
      <c r="C44" s="18" t="s">
        <v>71</v>
      </c>
      <c r="D44" s="56">
        <f>2.438</f>
        <v>2.4380000000000002</v>
      </c>
      <c r="E44" s="56"/>
      <c r="F44" s="56"/>
      <c r="G44" s="56">
        <f>0.972/6*15</f>
        <v>2.4300000000000002</v>
      </c>
      <c r="H44" s="56">
        <f>0.269</f>
        <v>0.26900000000000002</v>
      </c>
      <c r="I44" s="56">
        <f>1.802</f>
        <v>1.802</v>
      </c>
      <c r="J44" s="56"/>
      <c r="K44" s="56"/>
      <c r="L44" s="56"/>
      <c r="M44" s="56">
        <f>0.145/2</f>
        <v>7.2499999999999995E-2</v>
      </c>
      <c r="N44" s="56">
        <v>0.14499999999999999</v>
      </c>
      <c r="O44" s="56">
        <v>9</v>
      </c>
      <c r="P44" s="56"/>
      <c r="Q44" s="56">
        <v>6</v>
      </c>
      <c r="R44" s="56">
        <v>18</v>
      </c>
      <c r="S44" s="56">
        <v>9</v>
      </c>
      <c r="T44" s="56"/>
      <c r="U44" s="56"/>
      <c r="V44" s="56"/>
      <c r="W44" s="56"/>
      <c r="X44" s="43"/>
      <c r="Y44" s="56">
        <f>594.4+47.2</f>
        <v>641.6</v>
      </c>
      <c r="Z44" s="77">
        <v>15.2</v>
      </c>
      <c r="AA44" s="43"/>
      <c r="AB44" s="43">
        <v>0</v>
      </c>
      <c r="AC44" s="79"/>
      <c r="AD44" s="43"/>
    </row>
    <row r="45" spans="1:30" ht="11.1" customHeight="1" x14ac:dyDescent="0.15">
      <c r="A45" s="42"/>
      <c r="B45" s="47"/>
      <c r="C45" s="10" t="s">
        <v>72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44"/>
      <c r="Y45" s="57"/>
      <c r="Z45" s="78"/>
      <c r="AA45" s="44"/>
      <c r="AB45" s="44"/>
      <c r="AC45" s="80"/>
      <c r="AD45" s="44"/>
    </row>
    <row r="46" spans="1:30" ht="11.1" customHeight="1" x14ac:dyDescent="0.15">
      <c r="A46" s="42"/>
      <c r="B46" s="47"/>
      <c r="C46" s="17" t="s">
        <v>72</v>
      </c>
      <c r="D46" s="56">
        <f>0.611+4.284</f>
        <v>4.8949999999999996</v>
      </c>
      <c r="E46" s="56"/>
      <c r="F46" s="56"/>
      <c r="G46" s="56">
        <v>0.216</v>
      </c>
      <c r="H46" s="56">
        <f>1.505+0.348</f>
        <v>1.853</v>
      </c>
      <c r="I46" s="56">
        <v>5.1379999999999999</v>
      </c>
      <c r="J46" s="56"/>
      <c r="K46" s="56"/>
      <c r="L46" s="56"/>
      <c r="M46" s="56">
        <f>0.229/2</f>
        <v>0.1145</v>
      </c>
      <c r="N46" s="56">
        <v>0.22900000000000001</v>
      </c>
      <c r="O46" s="56">
        <v>19</v>
      </c>
      <c r="P46" s="56">
        <v>6</v>
      </c>
      <c r="Q46" s="56">
        <v>15</v>
      </c>
      <c r="R46" s="56">
        <v>9</v>
      </c>
      <c r="S46" s="56">
        <v>13</v>
      </c>
      <c r="T46" s="56"/>
      <c r="U46" s="56"/>
      <c r="V46" s="56"/>
      <c r="W46" s="56"/>
      <c r="X46" s="44"/>
      <c r="Y46" s="56">
        <f>268.8+30.8+322.4</f>
        <v>622</v>
      </c>
      <c r="Z46" s="56"/>
      <c r="AA46" s="56"/>
      <c r="AB46" s="56">
        <v>24</v>
      </c>
      <c r="AC46" s="79"/>
      <c r="AD46" s="44"/>
    </row>
    <row r="47" spans="1:30" ht="11.1" customHeight="1" x14ac:dyDescent="0.15">
      <c r="A47" s="42"/>
      <c r="B47" s="47"/>
      <c r="C47" s="10" t="s">
        <v>35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44"/>
      <c r="Y47" s="57"/>
      <c r="Z47" s="57"/>
      <c r="AA47" s="57"/>
      <c r="AB47" s="57"/>
      <c r="AC47" s="80"/>
      <c r="AD47" s="44"/>
    </row>
    <row r="48" spans="1:30" ht="11.1" customHeight="1" x14ac:dyDescent="0.15">
      <c r="A48" s="41">
        <v>14</v>
      </c>
      <c r="B48" s="46" t="s">
        <v>73</v>
      </c>
      <c r="C48" s="9" t="s">
        <v>74</v>
      </c>
      <c r="D48" s="44"/>
      <c r="E48" s="44"/>
      <c r="F48" s="44"/>
      <c r="G48" s="44">
        <f>1.092/6*15</f>
        <v>2.73</v>
      </c>
      <c r="H48" s="44">
        <v>0.61</v>
      </c>
      <c r="I48" s="44">
        <v>5.5679999999999996</v>
      </c>
      <c r="J48" s="44">
        <v>16.8</v>
      </c>
      <c r="K48" s="44">
        <v>14</v>
      </c>
      <c r="L48" s="44">
        <v>6</v>
      </c>
      <c r="M48" s="44">
        <f>315/2/1000</f>
        <v>0.1575</v>
      </c>
      <c r="N48" s="44">
        <f>0.315</f>
        <v>0.315</v>
      </c>
      <c r="O48" s="44">
        <v>11</v>
      </c>
      <c r="P48" s="44">
        <v>2</v>
      </c>
      <c r="Q48" s="44">
        <v>16</v>
      </c>
      <c r="R48" s="44">
        <v>22</v>
      </c>
      <c r="S48" s="44">
        <v>11</v>
      </c>
      <c r="T48" s="44">
        <v>3</v>
      </c>
      <c r="U48" s="44"/>
      <c r="V48" s="44"/>
      <c r="W48" s="44"/>
      <c r="X48" s="44"/>
      <c r="Y48" s="44">
        <f>1146+98+25</f>
        <v>1269</v>
      </c>
      <c r="Z48" s="44"/>
      <c r="AA48" s="44"/>
      <c r="AB48" s="44"/>
      <c r="AC48" s="79"/>
      <c r="AD48" s="44"/>
    </row>
    <row r="49" spans="1:30" ht="11.1" customHeight="1" x14ac:dyDescent="0.15">
      <c r="A49" s="43"/>
      <c r="B49" s="48"/>
      <c r="C49" s="10" t="s">
        <v>75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80"/>
      <c r="AD49" s="44"/>
    </row>
    <row r="50" spans="1:30" ht="11.1" customHeight="1" x14ac:dyDescent="0.15">
      <c r="A50" s="41">
        <v>15</v>
      </c>
      <c r="B50" s="46" t="s">
        <v>76</v>
      </c>
      <c r="C50" s="9" t="s">
        <v>74</v>
      </c>
      <c r="D50" s="44"/>
      <c r="E50" s="44"/>
      <c r="F50" s="44"/>
      <c r="G50" s="44">
        <f>1.368/6*15</f>
        <v>3.42</v>
      </c>
      <c r="H50" s="44">
        <f>0.808</f>
        <v>0.80800000000000005</v>
      </c>
      <c r="I50" s="44">
        <v>4.7679999999999998</v>
      </c>
      <c r="J50" s="44">
        <v>10.35</v>
      </c>
      <c r="K50" s="44">
        <v>11</v>
      </c>
      <c r="L50" s="44"/>
      <c r="M50" s="44">
        <f>0.383/2</f>
        <v>0.1915</v>
      </c>
      <c r="N50" s="44">
        <v>0.38300000000000001</v>
      </c>
      <c r="O50" s="44">
        <v>20</v>
      </c>
      <c r="P50" s="44">
        <v>3</v>
      </c>
      <c r="Q50" s="44">
        <v>17</v>
      </c>
      <c r="R50" s="44">
        <v>36</v>
      </c>
      <c r="S50" s="44">
        <v>24</v>
      </c>
      <c r="T50" s="44"/>
      <c r="U50" s="44"/>
      <c r="V50" s="44"/>
      <c r="W50" s="44"/>
      <c r="X50" s="44"/>
      <c r="Y50" s="44">
        <f>1352.4+109.6+33.6+75</f>
        <v>1570.6</v>
      </c>
      <c r="Z50" s="44"/>
      <c r="AA50" s="44"/>
      <c r="AB50" s="44"/>
      <c r="AC50" s="79"/>
      <c r="AD50" s="44"/>
    </row>
    <row r="51" spans="1:30" ht="11.1" customHeight="1" x14ac:dyDescent="0.15">
      <c r="A51" s="43"/>
      <c r="B51" s="48"/>
      <c r="C51" s="10" t="s">
        <v>77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80"/>
      <c r="AD51" s="44"/>
    </row>
    <row r="52" spans="1:30" ht="11.1" customHeight="1" x14ac:dyDescent="0.15">
      <c r="A52" s="41">
        <v>16</v>
      </c>
      <c r="B52" s="46" t="s">
        <v>78</v>
      </c>
      <c r="C52" s="9" t="s">
        <v>79</v>
      </c>
      <c r="D52" s="44">
        <v>1.972</v>
      </c>
      <c r="E52" s="44"/>
      <c r="F52" s="44"/>
      <c r="G52" s="44">
        <f>0.858/6*15</f>
        <v>2.145</v>
      </c>
      <c r="H52" s="44">
        <v>0.33600000000000002</v>
      </c>
      <c r="I52" s="44">
        <v>1.018</v>
      </c>
      <c r="J52" s="44"/>
      <c r="K52" s="44"/>
      <c r="L52" s="44"/>
      <c r="M52" s="44">
        <f>0.074/2</f>
        <v>3.6999999999999998E-2</v>
      </c>
      <c r="N52" s="44">
        <v>7.3999999999999996E-2</v>
      </c>
      <c r="O52" s="44">
        <v>10</v>
      </c>
      <c r="P52" s="44"/>
      <c r="Q52" s="44">
        <v>10</v>
      </c>
      <c r="R52" s="44">
        <v>15</v>
      </c>
      <c r="S52" s="44">
        <v>5</v>
      </c>
      <c r="T52" s="44"/>
      <c r="U52" s="44"/>
      <c r="V52" s="44"/>
      <c r="W52" s="44"/>
      <c r="X52" s="44"/>
      <c r="Y52" s="44">
        <f>561.6+42.8</f>
        <v>604.4</v>
      </c>
      <c r="Z52" s="44">
        <v>4.8</v>
      </c>
      <c r="AA52" s="44"/>
      <c r="AB52" s="44"/>
      <c r="AC52" s="79"/>
      <c r="AD52" s="44"/>
    </row>
    <row r="53" spans="1:30" ht="11.1" customHeight="1" x14ac:dyDescent="0.15">
      <c r="A53" s="43"/>
      <c r="B53" s="48"/>
      <c r="C53" s="10" t="s">
        <v>80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80"/>
      <c r="AD53" s="44"/>
    </row>
    <row r="54" spans="1:30" ht="11.1" customHeight="1" x14ac:dyDescent="0.15">
      <c r="A54" s="41">
        <v>17</v>
      </c>
      <c r="B54" s="46" t="s">
        <v>81</v>
      </c>
      <c r="C54" s="11" t="s">
        <v>64</v>
      </c>
      <c r="D54" s="51"/>
      <c r="E54" s="58"/>
      <c r="F54" s="58"/>
      <c r="G54" s="58"/>
      <c r="H54" s="55"/>
      <c r="I54" s="55">
        <f>0.485*2</f>
        <v>0.97</v>
      </c>
      <c r="J54" s="58"/>
      <c r="K54" s="55"/>
      <c r="L54" s="55"/>
      <c r="M54" s="58"/>
      <c r="N54" s="58"/>
      <c r="O54" s="58"/>
      <c r="P54" s="58"/>
      <c r="Q54" s="58"/>
      <c r="R54" s="58"/>
      <c r="S54" s="58"/>
      <c r="T54" s="44"/>
      <c r="U54" s="44"/>
      <c r="V54" s="44"/>
      <c r="W54" s="44"/>
      <c r="X54" s="44"/>
      <c r="Y54" s="44"/>
      <c r="Z54" s="44"/>
      <c r="AA54" s="44"/>
      <c r="AB54" s="44"/>
      <c r="AC54" s="79"/>
      <c r="AD54" s="44"/>
    </row>
    <row r="55" spans="1:30" ht="11.1" customHeight="1" x14ac:dyDescent="0.15">
      <c r="A55" s="43"/>
      <c r="B55" s="48"/>
      <c r="C55" s="12" t="s">
        <v>82</v>
      </c>
      <c r="D55" s="51"/>
      <c r="E55" s="58"/>
      <c r="F55" s="58"/>
      <c r="G55" s="58"/>
      <c r="H55" s="57"/>
      <c r="I55" s="57"/>
      <c r="J55" s="58"/>
      <c r="K55" s="57"/>
      <c r="L55" s="57"/>
      <c r="M55" s="58"/>
      <c r="N55" s="58"/>
      <c r="O55" s="58"/>
      <c r="P55" s="58"/>
      <c r="Q55" s="58"/>
      <c r="R55" s="58"/>
      <c r="S55" s="58"/>
      <c r="T55" s="44"/>
      <c r="U55" s="44"/>
      <c r="V55" s="44"/>
      <c r="W55" s="44"/>
      <c r="X55" s="44"/>
      <c r="Y55" s="44"/>
      <c r="Z55" s="44"/>
      <c r="AA55" s="44"/>
      <c r="AB55" s="44"/>
      <c r="AC55" s="80"/>
      <c r="AD55" s="44"/>
    </row>
    <row r="56" spans="1:30" ht="11.1" customHeight="1" x14ac:dyDescent="0.15">
      <c r="A56" s="41">
        <v>18</v>
      </c>
      <c r="B56" s="46" t="s">
        <v>83</v>
      </c>
      <c r="C56" s="19" t="s">
        <v>74</v>
      </c>
      <c r="D56" s="59"/>
      <c r="E56" s="59"/>
      <c r="F56" s="59"/>
      <c r="G56" s="59">
        <f>1.086/6*15</f>
        <v>2.7149999999999999</v>
      </c>
      <c r="H56" s="59">
        <f>0.554</f>
        <v>0.55400000000000005</v>
      </c>
      <c r="I56" s="59">
        <f>5.56</f>
        <v>5.56</v>
      </c>
      <c r="J56" s="59">
        <v>8.4</v>
      </c>
      <c r="K56" s="59">
        <v>4</v>
      </c>
      <c r="L56" s="59"/>
      <c r="M56" s="59">
        <f>0.267/2</f>
        <v>0.13350000000000001</v>
      </c>
      <c r="N56" s="59">
        <v>0.26700000000000002</v>
      </c>
      <c r="O56" s="59">
        <v>11</v>
      </c>
      <c r="P56" s="59"/>
      <c r="Q56" s="59">
        <v>9</v>
      </c>
      <c r="R56" s="59">
        <v>45</v>
      </c>
      <c r="S56" s="59">
        <v>37</v>
      </c>
      <c r="T56" s="59"/>
      <c r="U56" s="59"/>
      <c r="V56" s="59"/>
      <c r="W56" s="59"/>
      <c r="X56" s="59"/>
      <c r="Y56" s="59">
        <f>699.6+98+246+35</f>
        <v>1078.5999999999999</v>
      </c>
      <c r="Z56" s="59"/>
      <c r="AA56" s="59"/>
      <c r="AB56" s="59"/>
      <c r="AC56" s="79"/>
      <c r="AD56" s="59"/>
    </row>
    <row r="57" spans="1:30" ht="11.1" customHeight="1" x14ac:dyDescent="0.15">
      <c r="A57" s="42"/>
      <c r="B57" s="47"/>
      <c r="C57" s="20" t="s">
        <v>84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79"/>
      <c r="AD57" s="60"/>
    </row>
    <row r="58" spans="1:30" ht="11.1" customHeight="1" x14ac:dyDescent="0.15">
      <c r="A58" s="42"/>
      <c r="B58" s="47"/>
      <c r="C58" s="21" t="s">
        <v>84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79"/>
      <c r="AD58" s="60"/>
    </row>
    <row r="59" spans="1:30" ht="11.1" customHeight="1" x14ac:dyDescent="0.15">
      <c r="A59" s="42"/>
      <c r="B59" s="47"/>
      <c r="C59" s="20" t="s">
        <v>85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80"/>
      <c r="AD59" s="61"/>
    </row>
    <row r="60" spans="1:30" ht="11.1" customHeight="1" x14ac:dyDescent="0.15">
      <c r="A60" s="41">
        <v>19</v>
      </c>
      <c r="B60" s="46" t="s">
        <v>86</v>
      </c>
      <c r="C60" s="9" t="s">
        <v>74</v>
      </c>
      <c r="D60" s="55">
        <v>2.649</v>
      </c>
      <c r="E60" s="55"/>
      <c r="F60" s="55"/>
      <c r="G60" s="55">
        <f>0.1368/6*15</f>
        <v>0.34200000000000003</v>
      </c>
      <c r="H60" s="55">
        <v>0.82199999999999995</v>
      </c>
      <c r="I60" s="59">
        <v>1.046</v>
      </c>
      <c r="J60" s="59"/>
      <c r="K60" s="59">
        <v>2</v>
      </c>
      <c r="L60" s="59"/>
      <c r="M60" s="55">
        <f>0.228/2</f>
        <v>0.114</v>
      </c>
      <c r="N60" s="55">
        <v>0.22800000000000001</v>
      </c>
      <c r="O60" s="55">
        <v>35</v>
      </c>
      <c r="P60" s="55"/>
      <c r="Q60" s="55">
        <v>32</v>
      </c>
      <c r="R60" s="55">
        <v>32</v>
      </c>
      <c r="S60" s="55">
        <v>3</v>
      </c>
      <c r="T60" s="55"/>
      <c r="U60" s="55"/>
      <c r="V60" s="55"/>
      <c r="W60" s="55"/>
      <c r="X60" s="44">
        <v>1</v>
      </c>
      <c r="Y60" s="44">
        <f>1400.8+122.4+0.9+42</f>
        <v>1566.1</v>
      </c>
      <c r="Z60" s="44"/>
      <c r="AA60" s="44"/>
      <c r="AB60" s="44"/>
      <c r="AC60" s="79"/>
      <c r="AD60" s="44"/>
    </row>
    <row r="61" spans="1:30" ht="11.1" customHeight="1" x14ac:dyDescent="0.15">
      <c r="A61" s="43"/>
      <c r="B61" s="48"/>
      <c r="C61" s="10" t="s">
        <v>80</v>
      </c>
      <c r="D61" s="57"/>
      <c r="E61" s="57"/>
      <c r="F61" s="57"/>
      <c r="G61" s="57"/>
      <c r="H61" s="57"/>
      <c r="I61" s="61"/>
      <c r="J61" s="61"/>
      <c r="K61" s="61"/>
      <c r="L61" s="61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44"/>
      <c r="Y61" s="44"/>
      <c r="Z61" s="44"/>
      <c r="AA61" s="44"/>
      <c r="AB61" s="44"/>
      <c r="AC61" s="80"/>
      <c r="AD61" s="44"/>
    </row>
    <row r="62" spans="1:30" ht="11.1" customHeight="1" x14ac:dyDescent="0.15">
      <c r="A62" s="41">
        <v>20</v>
      </c>
      <c r="B62" s="46" t="s">
        <v>87</v>
      </c>
      <c r="C62" s="9" t="s">
        <v>65</v>
      </c>
      <c r="D62" s="62"/>
      <c r="E62" s="62"/>
      <c r="F62" s="62"/>
      <c r="G62" s="62">
        <f>0.606/6*15</f>
        <v>1.5149999999999999</v>
      </c>
      <c r="H62" s="62">
        <v>0.152</v>
      </c>
      <c r="I62" s="55">
        <v>2.302</v>
      </c>
      <c r="J62" s="55">
        <v>3.9</v>
      </c>
      <c r="K62" s="55">
        <v>2</v>
      </c>
      <c r="L62" s="55"/>
      <c r="M62" s="62">
        <f>0.087/2</f>
        <v>4.3499999999999997E-2</v>
      </c>
      <c r="N62" s="62">
        <v>8.6999999999999994E-2</v>
      </c>
      <c r="O62" s="55">
        <v>11</v>
      </c>
      <c r="P62" s="62">
        <v>4</v>
      </c>
      <c r="Q62" s="62">
        <v>5</v>
      </c>
      <c r="R62" s="62">
        <v>3</v>
      </c>
      <c r="S62" s="62">
        <v>2</v>
      </c>
      <c r="T62" s="44"/>
      <c r="U62" s="44"/>
      <c r="V62" s="44"/>
      <c r="W62" s="44"/>
      <c r="X62" s="44"/>
      <c r="Y62" s="44">
        <f>157.2+13.6</f>
        <v>170.8</v>
      </c>
      <c r="Z62" s="44">
        <v>14.4</v>
      </c>
      <c r="AA62" s="44"/>
      <c r="AB62" s="44"/>
      <c r="AC62" s="79"/>
      <c r="AD62" s="44"/>
    </row>
    <row r="63" spans="1:30" ht="11.1" customHeight="1" x14ac:dyDescent="0.15">
      <c r="A63" s="43"/>
      <c r="B63" s="48"/>
      <c r="C63" s="10" t="s">
        <v>88</v>
      </c>
      <c r="D63" s="63"/>
      <c r="E63" s="63"/>
      <c r="F63" s="63"/>
      <c r="G63" s="63"/>
      <c r="H63" s="63"/>
      <c r="I63" s="57"/>
      <c r="J63" s="57"/>
      <c r="K63" s="57"/>
      <c r="L63" s="57"/>
      <c r="M63" s="63"/>
      <c r="N63" s="63"/>
      <c r="O63" s="57"/>
      <c r="P63" s="63"/>
      <c r="Q63" s="63"/>
      <c r="R63" s="63"/>
      <c r="S63" s="63"/>
      <c r="T63" s="44"/>
      <c r="U63" s="44"/>
      <c r="V63" s="44"/>
      <c r="W63" s="44"/>
      <c r="X63" s="44"/>
      <c r="Y63" s="44"/>
      <c r="Z63" s="44"/>
      <c r="AA63" s="44"/>
      <c r="AB63" s="44"/>
      <c r="AC63" s="80"/>
      <c r="AD63" s="44"/>
    </row>
    <row r="64" spans="1:30" ht="11.1" customHeight="1" x14ac:dyDescent="0.15">
      <c r="A64" s="41">
        <v>21</v>
      </c>
      <c r="B64" s="46" t="s">
        <v>89</v>
      </c>
      <c r="C64" s="9" t="s">
        <v>90</v>
      </c>
      <c r="D64" s="55">
        <v>1.9019999999999999</v>
      </c>
      <c r="E64" s="55"/>
      <c r="F64" s="55"/>
      <c r="G64" s="55">
        <f>0.708/6*15</f>
        <v>1.77</v>
      </c>
      <c r="H64" s="55">
        <f>0.295+1.575</f>
        <v>1.87</v>
      </c>
      <c r="I64" s="55"/>
      <c r="J64" s="55"/>
      <c r="K64" s="55"/>
      <c r="L64" s="55"/>
      <c r="M64" s="55">
        <f>0.037/2</f>
        <v>1.8499999999999999E-2</v>
      </c>
      <c r="N64" s="55">
        <v>3.6999999999999998E-2</v>
      </c>
      <c r="O64" s="55">
        <v>12</v>
      </c>
      <c r="P64" s="55">
        <v>3</v>
      </c>
      <c r="Q64" s="55">
        <v>9</v>
      </c>
      <c r="R64" s="55">
        <v>6</v>
      </c>
      <c r="S64" s="55">
        <v>12</v>
      </c>
      <c r="T64" s="44"/>
      <c r="U64" s="44"/>
      <c r="V64" s="44"/>
      <c r="W64" s="44"/>
      <c r="X64" s="44"/>
      <c r="Y64" s="44">
        <f>400.8+30.4</f>
        <v>431.2</v>
      </c>
      <c r="Z64" s="44">
        <v>8.8000000000000007</v>
      </c>
      <c r="AA64" s="44"/>
      <c r="AB64" s="44"/>
      <c r="AC64" s="79"/>
      <c r="AD64" s="44"/>
    </row>
    <row r="65" spans="1:30" ht="11.1" customHeight="1" x14ac:dyDescent="0.15">
      <c r="A65" s="43"/>
      <c r="B65" s="48"/>
      <c r="C65" s="10" t="s">
        <v>91</v>
      </c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44"/>
      <c r="U65" s="44"/>
      <c r="V65" s="44"/>
      <c r="W65" s="44"/>
      <c r="X65" s="44"/>
      <c r="Y65" s="44"/>
      <c r="Z65" s="44"/>
      <c r="AA65" s="44"/>
      <c r="AB65" s="44"/>
      <c r="AC65" s="80"/>
      <c r="AD65" s="44"/>
    </row>
    <row r="66" spans="1:30" ht="11.1" customHeight="1" x14ac:dyDescent="0.15">
      <c r="A66" s="44">
        <v>22</v>
      </c>
      <c r="B66" s="45" t="s">
        <v>79</v>
      </c>
      <c r="C66" s="9" t="s">
        <v>92</v>
      </c>
      <c r="D66" s="58"/>
      <c r="E66" s="58"/>
      <c r="F66" s="58"/>
      <c r="G66" s="58">
        <f>0.769/6*15</f>
        <v>1.9225000000000001</v>
      </c>
      <c r="H66" s="58">
        <f>0.538+1.172</f>
        <v>1.71</v>
      </c>
      <c r="I66" s="58">
        <v>1.59</v>
      </c>
      <c r="J66" s="58"/>
      <c r="K66" s="55"/>
      <c r="L66" s="67">
        <v>60</v>
      </c>
      <c r="M66" s="67">
        <f>0.223/2</f>
        <v>0.1115</v>
      </c>
      <c r="N66" s="67">
        <v>0.223</v>
      </c>
      <c r="O66" s="67">
        <v>18</v>
      </c>
      <c r="P66" s="67">
        <v>6</v>
      </c>
      <c r="Q66" s="67">
        <v>19</v>
      </c>
      <c r="R66" s="67">
        <v>16</v>
      </c>
      <c r="S66" s="67">
        <v>3</v>
      </c>
      <c r="T66" s="44"/>
      <c r="U66" s="44"/>
      <c r="V66" s="44"/>
      <c r="W66" s="44"/>
      <c r="X66" s="44"/>
      <c r="Y66" s="44">
        <f>627.2+55.2</f>
        <v>682.4</v>
      </c>
      <c r="Z66" s="44">
        <v>7.6</v>
      </c>
      <c r="AA66" s="44"/>
      <c r="AB66" s="44"/>
      <c r="AC66" s="79"/>
      <c r="AD66" s="44"/>
    </row>
    <row r="67" spans="1:30" ht="11.1" customHeight="1" x14ac:dyDescent="0.15">
      <c r="A67" s="44"/>
      <c r="B67" s="45"/>
      <c r="C67" s="10" t="s">
        <v>93</v>
      </c>
      <c r="D67" s="58"/>
      <c r="E67" s="58"/>
      <c r="F67" s="58"/>
      <c r="G67" s="58"/>
      <c r="H67" s="58"/>
      <c r="I67" s="58"/>
      <c r="J67" s="58"/>
      <c r="K67" s="57"/>
      <c r="L67" s="67"/>
      <c r="M67" s="67"/>
      <c r="N67" s="67"/>
      <c r="O67" s="67"/>
      <c r="P67" s="67"/>
      <c r="Q67" s="67"/>
      <c r="R67" s="67"/>
      <c r="S67" s="67"/>
      <c r="T67" s="44"/>
      <c r="U67" s="44"/>
      <c r="V67" s="44"/>
      <c r="W67" s="44"/>
      <c r="X67" s="44"/>
      <c r="Y67" s="44"/>
      <c r="Z67" s="44"/>
      <c r="AA67" s="44"/>
      <c r="AB67" s="44"/>
      <c r="AC67" s="80"/>
      <c r="AD67" s="44"/>
    </row>
    <row r="68" spans="1:30" ht="11.1" customHeight="1" x14ac:dyDescent="0.15">
      <c r="A68" s="44"/>
      <c r="B68" s="45"/>
      <c r="C68" s="9" t="s">
        <v>67</v>
      </c>
      <c r="D68" s="44">
        <v>5.3029999999999999</v>
      </c>
      <c r="E68" s="44"/>
      <c r="F68" s="44">
        <f>2.25/2*6</f>
        <v>6.75</v>
      </c>
      <c r="G68" s="44"/>
      <c r="H68" s="44">
        <f>1.017+3.91</f>
        <v>4.9269999999999996</v>
      </c>
      <c r="I68" s="44">
        <f>0.056</f>
        <v>5.6000000000000001E-2</v>
      </c>
      <c r="J68" s="44"/>
      <c r="K68" s="44"/>
      <c r="L68" s="44">
        <v>7.5</v>
      </c>
      <c r="M68" s="44">
        <f>0.542/2</f>
        <v>0.27100000000000002</v>
      </c>
      <c r="N68" s="44">
        <f>0.542</f>
        <v>0.54200000000000004</v>
      </c>
      <c r="O68" s="44">
        <v>36</v>
      </c>
      <c r="P68" s="44">
        <v>14</v>
      </c>
      <c r="Q68" s="44">
        <v>14</v>
      </c>
      <c r="R68" s="44">
        <v>23</v>
      </c>
      <c r="S68" s="44">
        <v>17</v>
      </c>
      <c r="T68" s="44"/>
      <c r="U68" s="44"/>
      <c r="V68" s="44"/>
      <c r="W68" s="44"/>
      <c r="X68" s="44"/>
      <c r="Y68" s="44">
        <f>713.2+64.4</f>
        <v>777.6</v>
      </c>
      <c r="Z68" s="44">
        <v>124</v>
      </c>
      <c r="AA68" s="44"/>
      <c r="AB68" s="44">
        <v>10</v>
      </c>
      <c r="AC68" s="79"/>
      <c r="AD68" s="44"/>
    </row>
    <row r="69" spans="1:30" ht="11.1" customHeight="1" x14ac:dyDescent="0.15">
      <c r="A69" s="44"/>
      <c r="B69" s="45"/>
      <c r="C69" s="10" t="s">
        <v>94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80"/>
      <c r="AD69" s="44"/>
    </row>
    <row r="70" spans="1:30" ht="11.1" customHeight="1" x14ac:dyDescent="0.15">
      <c r="A70" s="44"/>
      <c r="B70" s="45"/>
      <c r="C70" s="23" t="s">
        <v>94</v>
      </c>
      <c r="D70" s="44">
        <v>0.98</v>
      </c>
      <c r="E70" s="44"/>
      <c r="F70" s="44"/>
      <c r="G70" s="44">
        <f>0.444/6*16</f>
        <v>1.1839999999999999</v>
      </c>
      <c r="H70" s="44">
        <f>0.196+0.916</f>
        <v>1.1120000000000001</v>
      </c>
      <c r="I70" s="44">
        <v>0.27200000000000002</v>
      </c>
      <c r="J70" s="44"/>
      <c r="K70" s="44"/>
      <c r="L70" s="44"/>
      <c r="M70" s="44">
        <f>0.111/2</f>
        <v>5.5500000000000001E-2</v>
      </c>
      <c r="N70" s="44">
        <v>0.111</v>
      </c>
      <c r="O70" s="44">
        <v>4</v>
      </c>
      <c r="P70" s="44"/>
      <c r="Q70" s="44">
        <v>4</v>
      </c>
      <c r="R70" s="44">
        <v>20</v>
      </c>
      <c r="S70" s="44">
        <v>16</v>
      </c>
      <c r="T70" s="44"/>
      <c r="U70" s="44"/>
      <c r="V70" s="44"/>
      <c r="W70" s="44"/>
      <c r="X70" s="44"/>
      <c r="Y70" s="44">
        <f>703.2+50.8</f>
        <v>754</v>
      </c>
      <c r="Z70" s="44"/>
      <c r="AA70" s="44"/>
      <c r="AB70" s="44"/>
      <c r="AC70" s="79"/>
      <c r="AD70" s="44"/>
    </row>
    <row r="71" spans="1:30" x14ac:dyDescent="0.15">
      <c r="A71" s="44"/>
      <c r="B71" s="45"/>
      <c r="C71" s="10" t="s">
        <v>95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80"/>
      <c r="AD71" s="44"/>
    </row>
    <row r="72" spans="1:30" x14ac:dyDescent="0.15">
      <c r="A72" s="44">
        <v>23</v>
      </c>
      <c r="B72" s="45" t="s">
        <v>96</v>
      </c>
      <c r="C72" s="9" t="s">
        <v>97</v>
      </c>
      <c r="D72" s="58"/>
      <c r="E72" s="58"/>
      <c r="F72" s="58"/>
      <c r="G72" s="58">
        <f>3.006/6*15</f>
        <v>7.5149999999999997</v>
      </c>
      <c r="H72" s="58">
        <v>1.768</v>
      </c>
      <c r="I72" s="55">
        <v>13.708</v>
      </c>
      <c r="J72" s="58">
        <f>18.9+3.15</f>
        <v>22.05</v>
      </c>
      <c r="K72" s="55">
        <v>7</v>
      </c>
      <c r="L72" s="55">
        <v>5.55</v>
      </c>
      <c r="M72" s="58">
        <f>0.559/2</f>
        <v>0.27950000000000003</v>
      </c>
      <c r="N72" s="58">
        <v>0.55900000000000005</v>
      </c>
      <c r="O72" s="58">
        <v>82</v>
      </c>
      <c r="P72" s="58">
        <v>4</v>
      </c>
      <c r="Q72" s="58">
        <v>37</v>
      </c>
      <c r="R72" s="58">
        <v>77</v>
      </c>
      <c r="S72" s="58">
        <v>24</v>
      </c>
      <c r="T72" s="44"/>
      <c r="U72" s="44">
        <v>1</v>
      </c>
      <c r="V72" s="44"/>
      <c r="W72" s="44">
        <v>2</v>
      </c>
      <c r="X72" s="44"/>
      <c r="Y72" s="44">
        <f>2669.6+306.8+50.4+2.4+173</f>
        <v>3202.2</v>
      </c>
      <c r="Z72" s="44">
        <v>263.2</v>
      </c>
      <c r="AA72" s="44"/>
      <c r="AB72" s="44">
        <v>16</v>
      </c>
      <c r="AC72" s="79"/>
      <c r="AD72" s="44"/>
    </row>
    <row r="73" spans="1:30" x14ac:dyDescent="0.15">
      <c r="A73" s="44"/>
      <c r="B73" s="45"/>
      <c r="C73" s="10" t="s">
        <v>95</v>
      </c>
      <c r="D73" s="58"/>
      <c r="E73" s="58"/>
      <c r="F73" s="58"/>
      <c r="G73" s="58"/>
      <c r="H73" s="58"/>
      <c r="I73" s="57"/>
      <c r="J73" s="58"/>
      <c r="K73" s="57"/>
      <c r="L73" s="57"/>
      <c r="M73" s="58"/>
      <c r="N73" s="58"/>
      <c r="O73" s="58"/>
      <c r="P73" s="58"/>
      <c r="Q73" s="58"/>
      <c r="R73" s="58"/>
      <c r="S73" s="58"/>
      <c r="T73" s="44"/>
      <c r="U73" s="44"/>
      <c r="V73" s="44"/>
      <c r="W73" s="44"/>
      <c r="X73" s="44"/>
      <c r="Y73" s="44"/>
      <c r="Z73" s="44"/>
      <c r="AA73" s="44"/>
      <c r="AB73" s="44"/>
      <c r="AC73" s="80"/>
      <c r="AD73" s="44"/>
    </row>
    <row r="74" spans="1:30" ht="11.1" customHeight="1" x14ac:dyDescent="0.15">
      <c r="A74" s="41">
        <v>24</v>
      </c>
      <c r="B74" s="45" t="s">
        <v>98</v>
      </c>
      <c r="C74" s="17" t="s">
        <v>99</v>
      </c>
      <c r="D74" s="44">
        <v>1.3140000000000001</v>
      </c>
      <c r="E74" s="44"/>
      <c r="F74" s="44">
        <f>0.454/2*6</f>
        <v>1.3620000000000001</v>
      </c>
      <c r="G74" s="44"/>
      <c r="H74" s="44">
        <v>0.185</v>
      </c>
      <c r="I74" s="44">
        <v>1.1479999999999999</v>
      </c>
      <c r="J74" s="44">
        <v>4.6500000000000004</v>
      </c>
      <c r="K74" s="44">
        <v>2</v>
      </c>
      <c r="L74" s="44"/>
      <c r="M74" s="44">
        <v>0.14599999999999999</v>
      </c>
      <c r="N74" s="44">
        <f>0.146/2</f>
        <v>7.2999999999999995E-2</v>
      </c>
      <c r="O74" s="44">
        <v>2</v>
      </c>
      <c r="P74" s="44">
        <v>2</v>
      </c>
      <c r="Q74" s="44">
        <v>6</v>
      </c>
      <c r="R74" s="44">
        <v>3</v>
      </c>
      <c r="S74" s="44">
        <v>1</v>
      </c>
      <c r="T74" s="44"/>
      <c r="U74" s="44"/>
      <c r="V74" s="44"/>
      <c r="W74" s="44"/>
      <c r="X74" s="44"/>
      <c r="Y74" s="44">
        <f>292.8+22.4</f>
        <v>315.2</v>
      </c>
      <c r="Z74" s="44"/>
      <c r="AA74" s="44"/>
      <c r="AB74" s="44">
        <v>8</v>
      </c>
      <c r="AC74" s="79"/>
      <c r="AD74" s="44"/>
    </row>
    <row r="75" spans="1:30" ht="11.1" customHeight="1" x14ac:dyDescent="0.15">
      <c r="A75" s="42"/>
      <c r="B75" s="45"/>
      <c r="C75" s="10" t="s">
        <v>100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80"/>
      <c r="AD75" s="44"/>
    </row>
    <row r="76" spans="1:30" ht="11.1" customHeight="1" x14ac:dyDescent="0.15">
      <c r="A76" s="41">
        <v>25</v>
      </c>
      <c r="B76" s="46" t="s">
        <v>101</v>
      </c>
      <c r="C76" s="9" t="s">
        <v>102</v>
      </c>
      <c r="D76" s="58"/>
      <c r="E76" s="58"/>
      <c r="F76" s="58">
        <f>0.508/2*6</f>
        <v>1.524</v>
      </c>
      <c r="G76" s="58"/>
      <c r="H76" s="58">
        <f>0.211</f>
        <v>0.21099999999999999</v>
      </c>
      <c r="I76" s="58">
        <f>3.352</f>
        <v>3.3519999999999999</v>
      </c>
      <c r="J76" s="58"/>
      <c r="K76" s="58"/>
      <c r="L76" s="58"/>
      <c r="M76" s="58"/>
      <c r="N76" s="58"/>
      <c r="O76" s="58">
        <v>3</v>
      </c>
      <c r="P76" s="58"/>
      <c r="Q76" s="58">
        <v>3</v>
      </c>
      <c r="R76" s="58">
        <v>19</v>
      </c>
      <c r="S76" s="58">
        <v>16</v>
      </c>
      <c r="T76" s="58"/>
      <c r="U76" s="58"/>
      <c r="V76" s="58"/>
      <c r="W76" s="58"/>
      <c r="X76" s="44"/>
      <c r="Y76" s="58">
        <f>365.6+24.8</f>
        <v>390.4</v>
      </c>
      <c r="Z76" s="58">
        <f>6.4</f>
        <v>6.4</v>
      </c>
      <c r="AA76" s="58"/>
      <c r="AB76" s="58"/>
      <c r="AC76" s="79"/>
      <c r="AD76" s="44"/>
    </row>
    <row r="77" spans="1:30" ht="11.1" customHeight="1" x14ac:dyDescent="0.15">
      <c r="A77" s="42"/>
      <c r="B77" s="47"/>
      <c r="C77" s="10" t="s">
        <v>103</v>
      </c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44"/>
      <c r="Y77" s="58"/>
      <c r="Z77" s="58"/>
      <c r="AA77" s="58"/>
      <c r="AB77" s="58"/>
      <c r="AC77" s="80"/>
      <c r="AD77" s="44"/>
    </row>
    <row r="78" spans="1:30" ht="11.1" customHeight="1" x14ac:dyDescent="0.15">
      <c r="A78" s="42"/>
      <c r="B78" s="47"/>
      <c r="C78" s="17" t="s">
        <v>104</v>
      </c>
      <c r="D78" s="58"/>
      <c r="E78" s="58"/>
      <c r="F78" s="58"/>
      <c r="G78" s="58">
        <f>0.924/6*15</f>
        <v>2.31</v>
      </c>
      <c r="H78" s="58">
        <f>0.438</f>
        <v>0.438</v>
      </c>
      <c r="I78" s="58">
        <f>4.406</f>
        <v>4.4059999999999997</v>
      </c>
      <c r="J78" s="58"/>
      <c r="K78" s="58"/>
      <c r="L78" s="58"/>
      <c r="M78" s="58">
        <f>0.121/2</f>
        <v>6.0499999999999998E-2</v>
      </c>
      <c r="N78" s="58">
        <f>0.121</f>
        <v>0.121</v>
      </c>
      <c r="O78" s="58">
        <v>10</v>
      </c>
      <c r="P78" s="58">
        <v>3</v>
      </c>
      <c r="Q78" s="58">
        <v>9</v>
      </c>
      <c r="R78" s="58">
        <v>27</v>
      </c>
      <c r="S78" s="58">
        <v>17</v>
      </c>
      <c r="T78" s="58"/>
      <c r="U78" s="58"/>
      <c r="V78" s="58"/>
      <c r="W78" s="58"/>
      <c r="X78" s="58"/>
      <c r="Y78" s="58">
        <f>752.8+75.2</f>
        <v>828</v>
      </c>
      <c r="Z78" s="58"/>
      <c r="AA78" s="58"/>
      <c r="AB78" s="58"/>
      <c r="AC78" s="79"/>
      <c r="AD78" s="58"/>
    </row>
    <row r="79" spans="1:30" ht="11.1" customHeight="1" x14ac:dyDescent="0.15">
      <c r="A79" s="42"/>
      <c r="B79" s="47"/>
      <c r="C79" s="10" t="s">
        <v>103</v>
      </c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80"/>
      <c r="AD79" s="58"/>
    </row>
    <row r="80" spans="1:30" ht="11.1" customHeight="1" x14ac:dyDescent="0.15">
      <c r="A80" s="42"/>
      <c r="B80" s="47"/>
      <c r="C80" s="9" t="s">
        <v>105</v>
      </c>
      <c r="D80" s="58">
        <v>7.8E-2</v>
      </c>
      <c r="E80" s="58"/>
      <c r="F80" s="58"/>
      <c r="G80" s="58">
        <f>0.702/6*15</f>
        <v>1.7549999999999999</v>
      </c>
      <c r="H80" s="58">
        <f>0.434+0.241</f>
        <v>0.67500000000000004</v>
      </c>
      <c r="I80" s="55">
        <v>3.508</v>
      </c>
      <c r="J80" s="58"/>
      <c r="K80" s="55"/>
      <c r="L80" s="55"/>
      <c r="M80" s="58">
        <f>0.044</f>
        <v>4.3999999999999997E-2</v>
      </c>
      <c r="N80" s="58">
        <f>0.088</f>
        <v>8.7999999999999995E-2</v>
      </c>
      <c r="O80" s="58">
        <v>21</v>
      </c>
      <c r="P80" s="58">
        <v>3</v>
      </c>
      <c r="Q80" s="58">
        <v>4</v>
      </c>
      <c r="R80" s="58">
        <v>21</v>
      </c>
      <c r="S80" s="58">
        <v>11</v>
      </c>
      <c r="T80" s="44"/>
      <c r="U80" s="44"/>
      <c r="V80" s="44"/>
      <c r="W80" s="44"/>
      <c r="X80" s="44"/>
      <c r="Y80" s="44">
        <f>826.4+91.2+44+12</f>
        <v>973.6</v>
      </c>
      <c r="Z80" s="44">
        <v>14.8</v>
      </c>
      <c r="AA80" s="44"/>
      <c r="AB80" s="44"/>
      <c r="AC80" s="79"/>
      <c r="AD80" s="44"/>
    </row>
    <row r="81" spans="1:30" ht="11.1" customHeight="1" x14ac:dyDescent="0.15">
      <c r="A81" s="42"/>
      <c r="B81" s="47"/>
      <c r="C81" s="10" t="s">
        <v>95</v>
      </c>
      <c r="D81" s="58"/>
      <c r="E81" s="58"/>
      <c r="F81" s="58"/>
      <c r="G81" s="58"/>
      <c r="H81" s="58"/>
      <c r="I81" s="57"/>
      <c r="J81" s="58"/>
      <c r="K81" s="57"/>
      <c r="L81" s="57"/>
      <c r="M81" s="58"/>
      <c r="N81" s="58"/>
      <c r="O81" s="58"/>
      <c r="P81" s="58"/>
      <c r="Q81" s="58"/>
      <c r="R81" s="58"/>
      <c r="S81" s="58"/>
      <c r="T81" s="44"/>
      <c r="U81" s="44"/>
      <c r="V81" s="44"/>
      <c r="W81" s="44"/>
      <c r="X81" s="44"/>
      <c r="Y81" s="44"/>
      <c r="Z81" s="44"/>
      <c r="AA81" s="44"/>
      <c r="AB81" s="44"/>
      <c r="AC81" s="80"/>
      <c r="AD81" s="44"/>
    </row>
    <row r="82" spans="1:30" ht="11.1" customHeight="1" x14ac:dyDescent="0.15">
      <c r="A82" s="44">
        <v>26</v>
      </c>
      <c r="B82" s="46" t="s">
        <v>106</v>
      </c>
      <c r="C82" s="9" t="s">
        <v>49</v>
      </c>
      <c r="D82" s="64">
        <v>0.98599999999999999</v>
      </c>
      <c r="E82" s="64"/>
      <c r="F82" s="64">
        <f>0.016/2*6</f>
        <v>4.8000000000000001E-2</v>
      </c>
      <c r="G82" s="64">
        <f>1.158/6*15</f>
        <v>2.895</v>
      </c>
      <c r="H82" s="64">
        <f>0.516+0.718</f>
        <v>1.234</v>
      </c>
      <c r="I82" s="64">
        <v>4.42</v>
      </c>
      <c r="J82" s="64">
        <f>27.6+3.9</f>
        <v>31.5</v>
      </c>
      <c r="K82" s="64">
        <v>12</v>
      </c>
      <c r="L82" s="64"/>
      <c r="M82" s="64">
        <f>0.261/2</f>
        <v>0.1305</v>
      </c>
      <c r="N82" s="64">
        <v>0.26100000000000001</v>
      </c>
      <c r="O82" s="64">
        <v>17</v>
      </c>
      <c r="P82" s="64"/>
      <c r="Q82" s="64">
        <v>17</v>
      </c>
      <c r="R82" s="64">
        <v>23</v>
      </c>
      <c r="S82" s="64">
        <v>9</v>
      </c>
      <c r="T82" s="64"/>
      <c r="U82" s="64"/>
      <c r="V82" s="64"/>
      <c r="W82" s="64"/>
      <c r="X82" s="64">
        <v>2</v>
      </c>
      <c r="Y82" s="64">
        <f>192+869.2+107.6+1.05+31</f>
        <v>1200.8499999999999</v>
      </c>
      <c r="Z82" s="64"/>
      <c r="AA82" s="64"/>
      <c r="AB82" s="64">
        <v>28</v>
      </c>
      <c r="AC82" s="79"/>
      <c r="AD82" s="81"/>
    </row>
    <row r="83" spans="1:30" ht="11.1" customHeight="1" x14ac:dyDescent="0.15">
      <c r="A83" s="44"/>
      <c r="B83" s="47"/>
      <c r="C83" s="10" t="s">
        <v>64</v>
      </c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79"/>
      <c r="AD83" s="81"/>
    </row>
    <row r="84" spans="1:30" ht="11.1" customHeight="1" x14ac:dyDescent="0.15">
      <c r="A84" s="44"/>
      <c r="B84" s="47"/>
      <c r="C84" s="9" t="s">
        <v>36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79"/>
      <c r="AD84" s="81"/>
    </row>
    <row r="85" spans="1:30" ht="11.1" customHeight="1" x14ac:dyDescent="0.15">
      <c r="A85" s="44"/>
      <c r="B85" s="48"/>
      <c r="C85" s="10" t="s">
        <v>49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80"/>
      <c r="AD85" s="81"/>
    </row>
    <row r="86" spans="1:30" ht="11.1" customHeight="1" x14ac:dyDescent="0.15">
      <c r="A86" s="44">
        <v>27</v>
      </c>
      <c r="B86" s="46" t="s">
        <v>107</v>
      </c>
      <c r="C86" s="9" t="s">
        <v>108</v>
      </c>
      <c r="D86" s="51">
        <v>3.8420000000000001</v>
      </c>
      <c r="E86" s="58"/>
      <c r="F86" s="58"/>
      <c r="G86" s="58">
        <f>1.694/6*15</f>
        <v>4.2350000000000003</v>
      </c>
      <c r="H86" s="55">
        <v>1.506</v>
      </c>
      <c r="I86" s="55">
        <v>2.7669999999999999</v>
      </c>
      <c r="J86" s="58"/>
      <c r="K86" s="55"/>
      <c r="L86" s="55">
        <v>14.55</v>
      </c>
      <c r="M86" s="58">
        <f>0.236/2</f>
        <v>0.11799999999999999</v>
      </c>
      <c r="N86" s="58">
        <v>0.23599999999999999</v>
      </c>
      <c r="O86" s="58">
        <v>42</v>
      </c>
      <c r="P86" s="58">
        <v>15</v>
      </c>
      <c r="Q86" s="58">
        <v>24</v>
      </c>
      <c r="R86" s="58">
        <v>29</v>
      </c>
      <c r="S86" s="58">
        <v>14</v>
      </c>
      <c r="T86" s="58">
        <v>1</v>
      </c>
      <c r="U86" s="58">
        <v>8</v>
      </c>
      <c r="V86" s="44"/>
      <c r="W86" s="44">
        <v>2</v>
      </c>
      <c r="X86" s="44"/>
      <c r="Y86" s="44">
        <f>1272+117.6+24</f>
        <v>1413.6</v>
      </c>
      <c r="Z86" s="44"/>
      <c r="AA86" s="44"/>
      <c r="AB86" s="44">
        <v>20</v>
      </c>
      <c r="AC86" s="79"/>
      <c r="AD86" s="44"/>
    </row>
    <row r="87" spans="1:30" ht="11.1" customHeight="1" x14ac:dyDescent="0.15">
      <c r="A87" s="44"/>
      <c r="B87" s="48"/>
      <c r="C87" s="10" t="s">
        <v>35</v>
      </c>
      <c r="D87" s="51"/>
      <c r="E87" s="58"/>
      <c r="F87" s="58"/>
      <c r="G87" s="58"/>
      <c r="H87" s="57"/>
      <c r="I87" s="57"/>
      <c r="J87" s="58"/>
      <c r="K87" s="57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44"/>
      <c r="W87" s="44"/>
      <c r="X87" s="44"/>
      <c r="Y87" s="44"/>
      <c r="Z87" s="44"/>
      <c r="AA87" s="44"/>
      <c r="AB87" s="44"/>
      <c r="AC87" s="80"/>
      <c r="AD87" s="44"/>
    </row>
    <row r="88" spans="1:30" ht="11.1" customHeight="1" x14ac:dyDescent="0.15">
      <c r="A88" s="44">
        <v>28</v>
      </c>
      <c r="B88" s="46" t="s">
        <v>109</v>
      </c>
      <c r="C88" s="11" t="s">
        <v>36</v>
      </c>
      <c r="D88" s="51">
        <v>0.75</v>
      </c>
      <c r="E88" s="58">
        <f>0.58/4*10</f>
        <v>1.45</v>
      </c>
      <c r="F88" s="58"/>
      <c r="G88" s="58"/>
      <c r="H88" s="55">
        <f>3.554</f>
        <v>3.5539999999999998</v>
      </c>
      <c r="I88" s="44"/>
      <c r="J88" s="44"/>
      <c r="K88" s="44"/>
      <c r="L88" s="44"/>
      <c r="M88" s="44"/>
      <c r="N88" s="44"/>
      <c r="O88" s="44"/>
      <c r="P88" s="44">
        <v>3</v>
      </c>
      <c r="Q88" s="44">
        <v>3</v>
      </c>
      <c r="R88" s="44"/>
      <c r="S88" s="44"/>
      <c r="T88" s="44"/>
      <c r="U88" s="44"/>
      <c r="V88" s="44"/>
      <c r="W88" s="44"/>
      <c r="X88" s="44"/>
      <c r="Y88" s="44">
        <f>1622.4+115.6+107</f>
        <v>1845</v>
      </c>
      <c r="Z88" s="44"/>
      <c r="AA88" s="44">
        <v>27.6</v>
      </c>
      <c r="AB88" s="44">
        <v>12</v>
      </c>
      <c r="AC88" s="79"/>
      <c r="AD88" s="44"/>
    </row>
    <row r="89" spans="1:30" ht="11.1" customHeight="1" x14ac:dyDescent="0.15">
      <c r="A89" s="44"/>
      <c r="B89" s="48"/>
      <c r="C89" s="12" t="s">
        <v>110</v>
      </c>
      <c r="D89" s="51"/>
      <c r="E89" s="58"/>
      <c r="F89" s="58"/>
      <c r="G89" s="58"/>
      <c r="H89" s="57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80"/>
      <c r="AD89" s="44"/>
    </row>
    <row r="90" spans="1:30" ht="11.1" customHeight="1" x14ac:dyDescent="0.15">
      <c r="A90" s="44">
        <v>29</v>
      </c>
      <c r="B90" s="46" t="s">
        <v>68</v>
      </c>
      <c r="C90" s="11" t="s">
        <v>65</v>
      </c>
      <c r="D90" s="67">
        <v>2.8260000000000001</v>
      </c>
      <c r="E90" s="67"/>
      <c r="F90" s="67"/>
      <c r="G90" s="67">
        <f>1.188/6*15</f>
        <v>2.97</v>
      </c>
      <c r="H90" s="67">
        <v>0.39900000000000002</v>
      </c>
      <c r="I90" s="55">
        <v>1.71</v>
      </c>
      <c r="J90" s="58">
        <v>2.85</v>
      </c>
      <c r="K90" s="55"/>
      <c r="L90" s="55"/>
      <c r="M90" s="67">
        <f>0.289/2</f>
        <v>0.14449999999999999</v>
      </c>
      <c r="N90" s="67">
        <v>0.28899999999999998</v>
      </c>
      <c r="O90" s="67">
        <v>24</v>
      </c>
      <c r="P90" s="67">
        <v>6</v>
      </c>
      <c r="Q90" s="67">
        <v>8</v>
      </c>
      <c r="R90" s="67">
        <v>6</v>
      </c>
      <c r="S90" s="67">
        <v>4</v>
      </c>
      <c r="T90" s="44"/>
      <c r="U90" s="44"/>
      <c r="V90" s="44"/>
      <c r="W90" s="44"/>
      <c r="X90" s="44">
        <v>1</v>
      </c>
      <c r="Y90" s="44">
        <f>515.2+48</f>
        <v>563.20000000000005</v>
      </c>
      <c r="Z90" s="44"/>
      <c r="AA90" s="44"/>
      <c r="AB90" s="44">
        <v>8</v>
      </c>
      <c r="AC90" s="79"/>
      <c r="AD90" s="44"/>
    </row>
    <row r="91" spans="1:30" ht="11.1" customHeight="1" x14ac:dyDescent="0.15">
      <c r="A91" s="44"/>
      <c r="B91" s="47"/>
      <c r="C91" s="12" t="s">
        <v>111</v>
      </c>
      <c r="D91" s="67"/>
      <c r="E91" s="67"/>
      <c r="F91" s="67"/>
      <c r="G91" s="67"/>
      <c r="H91" s="67"/>
      <c r="I91" s="57"/>
      <c r="J91" s="58"/>
      <c r="K91" s="57"/>
      <c r="L91" s="57"/>
      <c r="M91" s="67"/>
      <c r="N91" s="67"/>
      <c r="O91" s="67"/>
      <c r="P91" s="67"/>
      <c r="Q91" s="67"/>
      <c r="R91" s="67"/>
      <c r="S91" s="67"/>
      <c r="T91" s="44"/>
      <c r="U91" s="44"/>
      <c r="V91" s="44"/>
      <c r="W91" s="44"/>
      <c r="X91" s="44"/>
      <c r="Y91" s="44"/>
      <c r="Z91" s="44"/>
      <c r="AA91" s="44"/>
      <c r="AB91" s="44"/>
      <c r="AC91" s="80"/>
      <c r="AD91" s="44"/>
    </row>
    <row r="92" spans="1:30" ht="11.1" customHeight="1" x14ac:dyDescent="0.15">
      <c r="A92" s="44"/>
      <c r="B92" s="47"/>
      <c r="C92" s="11" t="s">
        <v>74</v>
      </c>
      <c r="D92" s="67">
        <v>0.57399999999999995</v>
      </c>
      <c r="E92" s="67"/>
      <c r="F92" s="67"/>
      <c r="G92" s="67">
        <f>0.246/6*15</f>
        <v>0.61499999999999999</v>
      </c>
      <c r="H92" s="67">
        <f>0.138</f>
        <v>0.13800000000000001</v>
      </c>
      <c r="I92" s="73">
        <v>0.35499999999999998</v>
      </c>
      <c r="J92" s="67">
        <v>4.8</v>
      </c>
      <c r="K92" s="73">
        <v>2</v>
      </c>
      <c r="L92" s="55"/>
      <c r="M92" s="58"/>
      <c r="N92" s="58"/>
      <c r="O92" s="67">
        <v>2</v>
      </c>
      <c r="P92" s="67"/>
      <c r="Q92" s="67">
        <v>2</v>
      </c>
      <c r="R92" s="67">
        <v>3</v>
      </c>
      <c r="S92" s="67">
        <v>1</v>
      </c>
      <c r="T92" s="44"/>
      <c r="U92" s="44"/>
      <c r="V92" s="44"/>
      <c r="W92" s="44"/>
      <c r="X92" s="44"/>
      <c r="Y92" s="44">
        <f>234.4+21.6</f>
        <v>256</v>
      </c>
      <c r="Z92" s="44">
        <f>24</f>
        <v>24</v>
      </c>
      <c r="AA92" s="44"/>
      <c r="AB92" s="44"/>
      <c r="AC92" s="79"/>
      <c r="AD92" s="44"/>
    </row>
    <row r="93" spans="1:30" ht="11.1" customHeight="1" x14ac:dyDescent="0.15">
      <c r="A93" s="44"/>
      <c r="B93" s="48"/>
      <c r="C93" s="12" t="s">
        <v>112</v>
      </c>
      <c r="D93" s="67"/>
      <c r="E93" s="67"/>
      <c r="F93" s="67"/>
      <c r="G93" s="67"/>
      <c r="H93" s="67"/>
      <c r="I93" s="73"/>
      <c r="J93" s="67"/>
      <c r="K93" s="73"/>
      <c r="L93" s="57"/>
      <c r="M93" s="58"/>
      <c r="N93" s="58"/>
      <c r="O93" s="67"/>
      <c r="P93" s="67"/>
      <c r="Q93" s="67"/>
      <c r="R93" s="67"/>
      <c r="S93" s="67"/>
      <c r="T93" s="44"/>
      <c r="U93" s="44"/>
      <c r="V93" s="44"/>
      <c r="W93" s="44"/>
      <c r="X93" s="44"/>
      <c r="Y93" s="44"/>
      <c r="Z93" s="44"/>
      <c r="AA93" s="44"/>
      <c r="AB93" s="44"/>
      <c r="AC93" s="80"/>
      <c r="AD93" s="44"/>
    </row>
    <row r="94" spans="1:30" ht="11.1" customHeight="1" x14ac:dyDescent="0.15">
      <c r="A94" s="44">
        <v>30</v>
      </c>
      <c r="B94" s="46" t="s">
        <v>113</v>
      </c>
      <c r="C94" s="11" t="s">
        <v>114</v>
      </c>
      <c r="D94" s="51"/>
      <c r="E94" s="58"/>
      <c r="F94" s="58">
        <f>0.04/2*6</f>
        <v>0.12</v>
      </c>
      <c r="G94" s="58">
        <f>0.978/6*15</f>
        <v>2.4449999999999998</v>
      </c>
      <c r="H94" s="55">
        <f>0.568+2.274</f>
        <v>2.8420000000000001</v>
      </c>
      <c r="I94" s="55">
        <f>2.21</f>
        <v>2.21</v>
      </c>
      <c r="J94" s="58">
        <v>14.4</v>
      </c>
      <c r="K94" s="55">
        <v>5</v>
      </c>
      <c r="L94" s="55"/>
      <c r="M94" s="58"/>
      <c r="N94" s="58"/>
      <c r="O94" s="58">
        <v>15</v>
      </c>
      <c r="P94" s="58"/>
      <c r="Q94" s="58">
        <v>12</v>
      </c>
      <c r="R94" s="58">
        <v>28</v>
      </c>
      <c r="S94" s="58">
        <v>11</v>
      </c>
      <c r="T94" s="44"/>
      <c r="U94" s="44"/>
      <c r="V94" s="44"/>
      <c r="W94" s="44"/>
      <c r="X94" s="44"/>
      <c r="Y94" s="44">
        <f>386.4+46.4</f>
        <v>432.8</v>
      </c>
      <c r="Z94" s="44">
        <v>7.6</v>
      </c>
      <c r="AA94" s="44"/>
      <c r="AB94" s="44"/>
      <c r="AC94" s="79"/>
      <c r="AD94" s="44"/>
    </row>
    <row r="95" spans="1:30" ht="11.1" customHeight="1" x14ac:dyDescent="0.15">
      <c r="A95" s="44"/>
      <c r="B95" s="48"/>
      <c r="C95" s="12" t="s">
        <v>115</v>
      </c>
      <c r="D95" s="51"/>
      <c r="E95" s="58"/>
      <c r="F95" s="58"/>
      <c r="G95" s="58"/>
      <c r="H95" s="57"/>
      <c r="I95" s="57"/>
      <c r="J95" s="58"/>
      <c r="K95" s="57"/>
      <c r="L95" s="57"/>
      <c r="M95" s="58"/>
      <c r="N95" s="58"/>
      <c r="O95" s="58"/>
      <c r="P95" s="58"/>
      <c r="Q95" s="58"/>
      <c r="R95" s="58"/>
      <c r="S95" s="58"/>
      <c r="T95" s="44"/>
      <c r="U95" s="44"/>
      <c r="V95" s="44"/>
      <c r="W95" s="44"/>
      <c r="X95" s="44"/>
      <c r="Y95" s="44"/>
      <c r="Z95" s="44"/>
      <c r="AA95" s="44"/>
      <c r="AB95" s="44"/>
      <c r="AC95" s="80"/>
      <c r="AD95" s="44"/>
    </row>
    <row r="96" spans="1:30" ht="11.1" customHeight="1" x14ac:dyDescent="0.15">
      <c r="A96" s="44">
        <v>31</v>
      </c>
      <c r="B96" s="46" t="s">
        <v>42</v>
      </c>
      <c r="C96" s="24" t="s">
        <v>41</v>
      </c>
      <c r="D96" s="51">
        <v>1.1599999999999999</v>
      </c>
      <c r="E96" s="58">
        <f>0.132/4*10</f>
        <v>0.33</v>
      </c>
      <c r="F96" s="44">
        <f>0.376/2*6</f>
        <v>1.1279999999999999</v>
      </c>
      <c r="G96" s="58"/>
      <c r="H96" s="55">
        <f>0.386+0.183</f>
        <v>0.56899999999999995</v>
      </c>
      <c r="I96" s="55"/>
      <c r="J96" s="58"/>
      <c r="K96" s="55"/>
      <c r="L96" s="55">
        <v>19.2</v>
      </c>
      <c r="M96" s="58">
        <f>0.041/2</f>
        <v>2.0500000000000001E-2</v>
      </c>
      <c r="N96" s="58">
        <v>4.1000000000000002E-2</v>
      </c>
      <c r="O96" s="58">
        <v>23</v>
      </c>
      <c r="P96" s="58">
        <v>5</v>
      </c>
      <c r="Q96" s="58">
        <v>9</v>
      </c>
      <c r="R96" s="58">
        <v>13</v>
      </c>
      <c r="S96" s="58">
        <v>9</v>
      </c>
      <c r="T96" s="44"/>
      <c r="U96" s="44"/>
      <c r="V96" s="44">
        <v>2</v>
      </c>
      <c r="W96" s="44"/>
      <c r="X96" s="44"/>
      <c r="Y96" s="44">
        <f>368+50.8</f>
        <v>418.8</v>
      </c>
      <c r="Z96" s="44"/>
      <c r="AA96" s="44"/>
      <c r="AB96" s="44">
        <v>18</v>
      </c>
      <c r="AC96" s="79"/>
      <c r="AD96" s="44"/>
    </row>
    <row r="97" spans="1:30" ht="11.1" customHeight="1" x14ac:dyDescent="0.15">
      <c r="A97" s="44"/>
      <c r="B97" s="48"/>
      <c r="C97" s="10" t="s">
        <v>35</v>
      </c>
      <c r="D97" s="51"/>
      <c r="E97" s="58"/>
      <c r="F97" s="44"/>
      <c r="G97" s="58"/>
      <c r="H97" s="57"/>
      <c r="I97" s="57"/>
      <c r="J97" s="58"/>
      <c r="K97" s="57"/>
      <c r="L97" s="57"/>
      <c r="M97" s="58"/>
      <c r="N97" s="58"/>
      <c r="O97" s="58"/>
      <c r="P97" s="58"/>
      <c r="Q97" s="58"/>
      <c r="R97" s="58"/>
      <c r="S97" s="58"/>
      <c r="T97" s="44"/>
      <c r="U97" s="44"/>
      <c r="V97" s="44"/>
      <c r="W97" s="44"/>
      <c r="X97" s="44"/>
      <c r="Y97" s="44"/>
      <c r="Z97" s="44"/>
      <c r="AA97" s="44"/>
      <c r="AB97" s="44"/>
      <c r="AC97" s="80"/>
      <c r="AD97" s="44"/>
    </row>
    <row r="98" spans="1:30" ht="11.1" customHeight="1" x14ac:dyDescent="0.15">
      <c r="A98" s="41">
        <v>32</v>
      </c>
      <c r="B98" s="46" t="s">
        <v>116</v>
      </c>
      <c r="C98" s="25" t="s">
        <v>35</v>
      </c>
      <c r="D98" s="68">
        <v>1.21</v>
      </c>
      <c r="E98" s="68"/>
      <c r="F98" s="68">
        <f>0.098/2*6</f>
        <v>0.29399999999999998</v>
      </c>
      <c r="G98" s="68">
        <f>1.026/6*15+0.128/4*8</f>
        <v>2.8210000000000002</v>
      </c>
      <c r="H98" s="68">
        <v>0.78800000000000003</v>
      </c>
      <c r="I98" s="68">
        <v>1.4279999999999999</v>
      </c>
      <c r="J98" s="68"/>
      <c r="K98" s="68"/>
      <c r="L98" s="68">
        <v>1.95</v>
      </c>
      <c r="M98" s="68">
        <f>0.234/2</f>
        <v>0.11700000000000001</v>
      </c>
      <c r="N98" s="68">
        <v>0.23400000000000001</v>
      </c>
      <c r="O98" s="68">
        <v>56</v>
      </c>
      <c r="P98" s="68">
        <v>10</v>
      </c>
      <c r="Q98" s="68">
        <v>10</v>
      </c>
      <c r="R98" s="68">
        <v>19</v>
      </c>
      <c r="S98" s="68">
        <v>15</v>
      </c>
      <c r="T98" s="68"/>
      <c r="U98" s="68"/>
      <c r="V98" s="68"/>
      <c r="W98" s="68"/>
      <c r="X98" s="68"/>
      <c r="Y98" s="68">
        <f>1348+916.8+98+174</f>
        <v>2536.8000000000002</v>
      </c>
      <c r="Z98" s="68">
        <v>14</v>
      </c>
      <c r="AA98" s="68"/>
      <c r="AB98" s="68"/>
      <c r="AC98" s="79"/>
      <c r="AD98" s="45"/>
    </row>
    <row r="99" spans="1:30" ht="11.1" customHeight="1" x14ac:dyDescent="0.15">
      <c r="A99" s="42"/>
      <c r="B99" s="47"/>
      <c r="C99" s="26" t="s">
        <v>117</v>
      </c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79"/>
      <c r="AD99" s="45"/>
    </row>
    <row r="100" spans="1:30" ht="11.1" customHeight="1" x14ac:dyDescent="0.15">
      <c r="A100" s="42"/>
      <c r="B100" s="47"/>
      <c r="C100" s="26" t="s">
        <v>117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79"/>
      <c r="AD100" s="45"/>
    </row>
    <row r="101" spans="1:30" ht="11.1" customHeight="1" x14ac:dyDescent="0.15">
      <c r="A101" s="43"/>
      <c r="B101" s="47"/>
      <c r="C101" s="26" t="s">
        <v>118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80"/>
      <c r="AD101" s="45"/>
    </row>
    <row r="102" spans="1:30" ht="11.1" customHeight="1" x14ac:dyDescent="0.15">
      <c r="A102" s="44">
        <v>33</v>
      </c>
      <c r="B102" s="46" t="s">
        <v>119</v>
      </c>
      <c r="C102" s="9" t="s">
        <v>120</v>
      </c>
      <c r="D102" s="51">
        <v>0.84199999999999997</v>
      </c>
      <c r="E102" s="58"/>
      <c r="F102" s="58"/>
      <c r="G102" s="58">
        <f>0.48/6*15</f>
        <v>1.2</v>
      </c>
      <c r="H102" s="55">
        <f>0.398+0.768</f>
        <v>1.1659999999999999</v>
      </c>
      <c r="I102" s="55"/>
      <c r="J102" s="58"/>
      <c r="K102" s="55"/>
      <c r="L102" s="55"/>
      <c r="M102" s="58">
        <f>0.074/2</f>
        <v>3.6999999999999998E-2</v>
      </c>
      <c r="N102" s="58">
        <v>7.3999999999999996E-2</v>
      </c>
      <c r="O102" s="58">
        <v>29</v>
      </c>
      <c r="P102" s="58">
        <v>8</v>
      </c>
      <c r="Q102" s="58">
        <v>16</v>
      </c>
      <c r="R102" s="58">
        <v>3</v>
      </c>
      <c r="S102" s="58">
        <v>4</v>
      </c>
      <c r="T102" s="44"/>
      <c r="U102" s="44"/>
      <c r="V102" s="44">
        <v>2</v>
      </c>
      <c r="W102" s="44"/>
      <c r="X102" s="44"/>
      <c r="Y102" s="44">
        <f>528+56.4</f>
        <v>584.4</v>
      </c>
      <c r="Z102" s="44"/>
      <c r="AA102" s="44"/>
      <c r="AB102" s="44"/>
      <c r="AC102" s="79"/>
      <c r="AD102" s="44"/>
    </row>
    <row r="103" spans="1:30" ht="11.1" customHeight="1" x14ac:dyDescent="0.15">
      <c r="A103" s="44"/>
      <c r="B103" s="48"/>
      <c r="C103" s="10" t="s">
        <v>121</v>
      </c>
      <c r="D103" s="51"/>
      <c r="E103" s="58"/>
      <c r="F103" s="58"/>
      <c r="G103" s="58"/>
      <c r="H103" s="57"/>
      <c r="I103" s="57"/>
      <c r="J103" s="58"/>
      <c r="K103" s="57"/>
      <c r="L103" s="57"/>
      <c r="M103" s="58"/>
      <c r="N103" s="58"/>
      <c r="O103" s="58"/>
      <c r="P103" s="58"/>
      <c r="Q103" s="58"/>
      <c r="R103" s="58"/>
      <c r="S103" s="58"/>
      <c r="T103" s="44"/>
      <c r="U103" s="44"/>
      <c r="V103" s="44"/>
      <c r="W103" s="44"/>
      <c r="X103" s="44"/>
      <c r="Y103" s="44"/>
      <c r="Z103" s="44"/>
      <c r="AA103" s="44"/>
      <c r="AB103" s="44"/>
      <c r="AC103" s="80"/>
      <c r="AD103" s="44"/>
    </row>
    <row r="104" spans="1:30" ht="11.1" customHeight="1" x14ac:dyDescent="0.15">
      <c r="A104" s="44">
        <v>34</v>
      </c>
      <c r="B104" s="46" t="s">
        <v>45</v>
      </c>
      <c r="C104" s="9" t="s">
        <v>122</v>
      </c>
      <c r="D104" s="44">
        <f>0.622+1.016</f>
        <v>1.6379999999999999</v>
      </c>
      <c r="E104" s="44"/>
      <c r="F104" s="44">
        <f>0.316/2*6</f>
        <v>0.94799999999999995</v>
      </c>
      <c r="G104" s="44">
        <f>2.64/6*15</f>
        <v>6.6</v>
      </c>
      <c r="H104" s="44">
        <f>1.559+0.362</f>
        <v>1.921</v>
      </c>
      <c r="I104" s="44">
        <v>1.179</v>
      </c>
      <c r="J104" s="44"/>
      <c r="K104" s="44">
        <v>2</v>
      </c>
      <c r="L104" s="44">
        <v>63.6</v>
      </c>
      <c r="M104" s="44">
        <f>0.523/2</f>
        <v>0.26150000000000001</v>
      </c>
      <c r="N104" s="44">
        <v>0.52300000000000002</v>
      </c>
      <c r="O104" s="44">
        <v>85</v>
      </c>
      <c r="P104" s="44">
        <v>23</v>
      </c>
      <c r="Q104" s="44">
        <v>39</v>
      </c>
      <c r="R104" s="44">
        <v>26</v>
      </c>
      <c r="S104" s="44">
        <v>16</v>
      </c>
      <c r="T104" s="44"/>
      <c r="U104" s="44"/>
      <c r="V104" s="44"/>
      <c r="W104" s="44"/>
      <c r="X104" s="44"/>
      <c r="Y104" s="44">
        <f>417.6+1864.8+194+173</f>
        <v>2649.4</v>
      </c>
      <c r="Z104" s="44">
        <v>13.6</v>
      </c>
      <c r="AA104" s="44"/>
      <c r="AB104" s="44">
        <v>68</v>
      </c>
      <c r="AC104" s="44"/>
      <c r="AD104" s="44"/>
    </row>
    <row r="105" spans="1:30" ht="11.1" customHeight="1" x14ac:dyDescent="0.15">
      <c r="A105" s="44"/>
      <c r="B105" s="47"/>
      <c r="C105" s="10" t="s">
        <v>108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1:30" ht="11.1" customHeight="1" x14ac:dyDescent="0.15">
      <c r="A106" s="44"/>
      <c r="B106" s="47"/>
      <c r="C106" s="9" t="s">
        <v>123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1:30" ht="11.1" customHeight="1" x14ac:dyDescent="0.15">
      <c r="A107" s="44"/>
      <c r="B107" s="48"/>
      <c r="C107" s="10" t="s">
        <v>122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1:30" ht="11.1" customHeight="1" x14ac:dyDescent="0.15">
      <c r="A108" s="44">
        <v>35</v>
      </c>
      <c r="B108" s="46" t="s">
        <v>56</v>
      </c>
      <c r="C108" s="9" t="s">
        <v>38</v>
      </c>
      <c r="D108" s="51">
        <v>0.25700000000000001</v>
      </c>
      <c r="E108" s="58"/>
      <c r="F108" s="58">
        <f>0.012/2*6</f>
        <v>3.5999999999999997E-2</v>
      </c>
      <c r="G108" s="58"/>
      <c r="H108" s="55">
        <f>0.076+0.893</f>
        <v>0.96899999999999997</v>
      </c>
      <c r="I108" s="55"/>
      <c r="J108" s="58"/>
      <c r="K108" s="55"/>
      <c r="L108" s="55"/>
      <c r="M108" s="58"/>
      <c r="N108" s="58"/>
      <c r="O108" s="58"/>
      <c r="P108" s="58"/>
      <c r="Q108" s="58">
        <v>4</v>
      </c>
      <c r="R108" s="58">
        <v>4</v>
      </c>
      <c r="S108" s="44"/>
      <c r="T108" s="44"/>
      <c r="U108" s="44"/>
      <c r="V108" s="44"/>
      <c r="W108" s="44"/>
      <c r="X108" s="44"/>
      <c r="Y108" s="44">
        <f>50.8+8</f>
        <v>58.8</v>
      </c>
      <c r="Z108" s="44"/>
      <c r="AA108" s="44"/>
      <c r="AB108" s="44"/>
      <c r="AC108" s="79"/>
      <c r="AD108" s="44"/>
    </row>
    <row r="109" spans="1:30" ht="11.1" customHeight="1" x14ac:dyDescent="0.15">
      <c r="A109" s="44"/>
      <c r="B109" s="48"/>
      <c r="C109" s="10" t="s">
        <v>124</v>
      </c>
      <c r="D109" s="51"/>
      <c r="E109" s="58"/>
      <c r="F109" s="58"/>
      <c r="G109" s="58"/>
      <c r="H109" s="57"/>
      <c r="I109" s="57"/>
      <c r="J109" s="58"/>
      <c r="K109" s="57"/>
      <c r="L109" s="57"/>
      <c r="M109" s="58"/>
      <c r="N109" s="58"/>
      <c r="O109" s="58"/>
      <c r="P109" s="58"/>
      <c r="Q109" s="58"/>
      <c r="R109" s="58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80"/>
      <c r="AD109" s="44"/>
    </row>
    <row r="110" spans="1:30" ht="11.1" customHeight="1" x14ac:dyDescent="0.15">
      <c r="A110" s="44">
        <v>36</v>
      </c>
      <c r="B110" s="46" t="s">
        <v>125</v>
      </c>
      <c r="C110" s="11" t="s">
        <v>126</v>
      </c>
      <c r="D110" s="44"/>
      <c r="E110" s="44"/>
      <c r="F110" s="44"/>
      <c r="G110" s="44">
        <f>0.264/6*15</f>
        <v>0.66</v>
      </c>
      <c r="H110" s="44">
        <f>0.252</f>
        <v>0.252</v>
      </c>
      <c r="I110" s="44">
        <v>1.7350000000000001</v>
      </c>
      <c r="J110" s="44">
        <f>11.1+7.8</f>
        <v>18.899999999999999</v>
      </c>
      <c r="K110" s="44"/>
      <c r="L110" s="44"/>
      <c r="M110" s="44"/>
      <c r="N110" s="44"/>
      <c r="O110" s="44">
        <v>2</v>
      </c>
      <c r="P110" s="44"/>
      <c r="Q110" s="44">
        <v>1</v>
      </c>
      <c r="R110" s="44">
        <v>10</v>
      </c>
      <c r="S110" s="44">
        <v>10</v>
      </c>
      <c r="T110" s="44"/>
      <c r="U110" s="44"/>
      <c r="V110" s="44">
        <v>1</v>
      </c>
      <c r="W110" s="44"/>
      <c r="X110" s="44">
        <v>12</v>
      </c>
      <c r="Y110" s="44">
        <f>127.2+24.8</f>
        <v>152</v>
      </c>
      <c r="Z110" s="44"/>
      <c r="AA110" s="44"/>
      <c r="AB110" s="44">
        <v>8</v>
      </c>
      <c r="AC110" s="79"/>
      <c r="AD110" s="44"/>
    </row>
    <row r="111" spans="1:30" ht="11.1" customHeight="1" x14ac:dyDescent="0.15">
      <c r="A111" s="44"/>
      <c r="B111" s="48"/>
      <c r="C111" s="12" t="s">
        <v>127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80"/>
      <c r="AD111" s="44"/>
    </row>
    <row r="112" spans="1:30" ht="11.1" customHeight="1" x14ac:dyDescent="0.15">
      <c r="A112" s="44">
        <v>37</v>
      </c>
      <c r="B112" s="45" t="s">
        <v>88</v>
      </c>
      <c r="C112" s="9" t="s">
        <v>67</v>
      </c>
      <c r="D112" s="58">
        <v>1.1279999999999999</v>
      </c>
      <c r="E112" s="58"/>
      <c r="F112" s="58">
        <f>0.02/2*6</f>
        <v>0.06</v>
      </c>
      <c r="G112" s="58">
        <f>0.408/6*15</f>
        <v>1.02</v>
      </c>
      <c r="H112" s="58">
        <v>0.35899999999999999</v>
      </c>
      <c r="I112" s="55">
        <v>0.27900000000000003</v>
      </c>
      <c r="J112" s="58"/>
      <c r="K112" s="55"/>
      <c r="L112" s="55"/>
      <c r="M112" s="58">
        <f>0.198/2</f>
        <v>9.9000000000000005E-2</v>
      </c>
      <c r="N112" s="58">
        <v>0.19800000000000001</v>
      </c>
      <c r="O112" s="58">
        <v>16</v>
      </c>
      <c r="P112" s="58">
        <v>5</v>
      </c>
      <c r="Q112" s="58">
        <v>12</v>
      </c>
      <c r="R112" s="58">
        <v>15</v>
      </c>
      <c r="S112" s="58">
        <v>5</v>
      </c>
      <c r="T112" s="58">
        <v>1</v>
      </c>
      <c r="U112" s="44"/>
      <c r="V112" s="44"/>
      <c r="W112" s="44"/>
      <c r="X112" s="44"/>
      <c r="Y112" s="44">
        <f>636.8+50.8</f>
        <v>687.6</v>
      </c>
      <c r="Z112" s="44">
        <v>19.600000000000001</v>
      </c>
      <c r="AA112" s="44"/>
      <c r="AB112" s="44"/>
      <c r="AC112" s="79"/>
      <c r="AD112" s="44"/>
    </row>
    <row r="113" spans="1:30" ht="11.1" customHeight="1" x14ac:dyDescent="0.15">
      <c r="A113" s="44"/>
      <c r="B113" s="45"/>
      <c r="C113" s="10" t="s">
        <v>68</v>
      </c>
      <c r="D113" s="58"/>
      <c r="E113" s="58"/>
      <c r="F113" s="58"/>
      <c r="G113" s="58"/>
      <c r="H113" s="58"/>
      <c r="I113" s="57"/>
      <c r="J113" s="58"/>
      <c r="K113" s="57"/>
      <c r="L113" s="57"/>
      <c r="M113" s="58"/>
      <c r="N113" s="58"/>
      <c r="O113" s="58"/>
      <c r="P113" s="58"/>
      <c r="Q113" s="58"/>
      <c r="R113" s="58"/>
      <c r="S113" s="58"/>
      <c r="T113" s="58"/>
      <c r="U113" s="44"/>
      <c r="V113" s="44"/>
      <c r="W113" s="44"/>
      <c r="X113" s="44"/>
      <c r="Y113" s="44"/>
      <c r="Z113" s="44"/>
      <c r="AA113" s="44"/>
      <c r="AB113" s="44"/>
      <c r="AC113" s="80"/>
      <c r="AD113" s="44"/>
    </row>
    <row r="114" spans="1:30" ht="11.1" customHeight="1" x14ac:dyDescent="0.15">
      <c r="A114" s="44">
        <v>38</v>
      </c>
      <c r="B114" s="45" t="s">
        <v>128</v>
      </c>
      <c r="C114" s="27" t="s">
        <v>74</v>
      </c>
      <c r="D114" s="58">
        <v>3.8010000000000002</v>
      </c>
      <c r="E114" s="58"/>
      <c r="F114" s="58"/>
      <c r="G114" s="58">
        <f>1.35/6*15</f>
        <v>3.375</v>
      </c>
      <c r="H114" s="58">
        <f>0.804</f>
        <v>0.80400000000000005</v>
      </c>
      <c r="I114" s="55"/>
      <c r="J114" s="58"/>
      <c r="K114" s="55"/>
      <c r="L114" s="55"/>
      <c r="M114" s="58">
        <f>0.206/2</f>
        <v>0.10299999999999999</v>
      </c>
      <c r="N114" s="58">
        <v>0.20599999999999999</v>
      </c>
      <c r="O114" s="58">
        <v>6</v>
      </c>
      <c r="P114" s="58">
        <v>5</v>
      </c>
      <c r="Q114" s="58">
        <v>9</v>
      </c>
      <c r="R114" s="58">
        <v>7</v>
      </c>
      <c r="S114" s="58">
        <v>5</v>
      </c>
      <c r="T114" s="58"/>
      <c r="U114" s="44"/>
      <c r="V114" s="44"/>
      <c r="W114" s="44"/>
      <c r="X114" s="44"/>
      <c r="Y114" s="44">
        <f>636+52.4</f>
        <v>688.4</v>
      </c>
      <c r="Z114" s="44">
        <v>41.2</v>
      </c>
      <c r="AA114" s="44"/>
      <c r="AB114" s="44"/>
      <c r="AC114" s="79"/>
      <c r="AD114" s="44"/>
    </row>
    <row r="115" spans="1:30" ht="11.1" customHeight="1" x14ac:dyDescent="0.15">
      <c r="A115" s="44"/>
      <c r="B115" s="45"/>
      <c r="C115" s="10" t="s">
        <v>129</v>
      </c>
      <c r="D115" s="58"/>
      <c r="E115" s="58"/>
      <c r="F115" s="58"/>
      <c r="G115" s="58"/>
      <c r="H115" s="58"/>
      <c r="I115" s="57"/>
      <c r="J115" s="58"/>
      <c r="K115" s="57"/>
      <c r="L115" s="57"/>
      <c r="M115" s="58"/>
      <c r="N115" s="58"/>
      <c r="O115" s="58"/>
      <c r="P115" s="58"/>
      <c r="Q115" s="58"/>
      <c r="R115" s="58"/>
      <c r="S115" s="58"/>
      <c r="T115" s="58"/>
      <c r="U115" s="44"/>
      <c r="V115" s="44"/>
      <c r="W115" s="44"/>
      <c r="X115" s="44"/>
      <c r="Y115" s="44"/>
      <c r="Z115" s="44"/>
      <c r="AA115" s="44"/>
      <c r="AB115" s="44"/>
      <c r="AC115" s="80"/>
      <c r="AD115" s="44"/>
    </row>
    <row r="116" spans="1:30" ht="11.1" customHeight="1" x14ac:dyDescent="0.15">
      <c r="A116" s="44">
        <v>39</v>
      </c>
      <c r="B116" s="45" t="s">
        <v>130</v>
      </c>
      <c r="C116" s="17" t="s">
        <v>93</v>
      </c>
      <c r="D116" s="58">
        <v>0.51400000000000001</v>
      </c>
      <c r="E116" s="58"/>
      <c r="F116" s="58"/>
      <c r="G116" s="58"/>
      <c r="H116" s="58">
        <f>0.096+1.418</f>
        <v>1.514</v>
      </c>
      <c r="I116" s="58">
        <v>5.09</v>
      </c>
      <c r="J116" s="58">
        <v>2.5499999999999998</v>
      </c>
      <c r="K116" s="58"/>
      <c r="L116" s="58"/>
      <c r="M116" s="58"/>
      <c r="N116" s="58"/>
      <c r="O116" s="58">
        <v>12</v>
      </c>
      <c r="P116" s="58">
        <v>6</v>
      </c>
      <c r="Q116" s="58">
        <v>6</v>
      </c>
      <c r="R116" s="58">
        <v>3</v>
      </c>
      <c r="S116" s="58"/>
      <c r="T116" s="58"/>
      <c r="U116" s="58"/>
      <c r="V116" s="58"/>
      <c r="W116" s="58"/>
      <c r="X116" s="44"/>
      <c r="Y116" s="58">
        <f>282.4+25.6+0.9+14</f>
        <v>322.89999999999998</v>
      </c>
      <c r="Z116" s="58">
        <v>216</v>
      </c>
      <c r="AA116" s="58">
        <v>44.4</v>
      </c>
      <c r="AB116" s="58">
        <v>4</v>
      </c>
      <c r="AC116" s="79"/>
      <c r="AD116" s="44"/>
    </row>
    <row r="117" spans="1:30" ht="11.1" customHeight="1" x14ac:dyDescent="0.15">
      <c r="A117" s="44"/>
      <c r="B117" s="45"/>
      <c r="C117" s="10" t="s">
        <v>131</v>
      </c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44"/>
      <c r="Y117" s="58"/>
      <c r="Z117" s="58"/>
      <c r="AA117" s="58"/>
      <c r="AB117" s="58"/>
      <c r="AC117" s="80"/>
      <c r="AD117" s="44"/>
    </row>
    <row r="118" spans="1:30" ht="11.1" customHeight="1" x14ac:dyDescent="0.15">
      <c r="A118" s="41">
        <v>40</v>
      </c>
      <c r="B118" s="46" t="s">
        <v>132</v>
      </c>
      <c r="C118" s="17" t="s">
        <v>89</v>
      </c>
      <c r="D118" s="55"/>
      <c r="E118" s="55"/>
      <c r="F118" s="55"/>
      <c r="G118" s="55">
        <f>1.056/6*15</f>
        <v>2.64</v>
      </c>
      <c r="H118" s="55">
        <f>0.585+0.655</f>
        <v>1.24</v>
      </c>
      <c r="I118" s="55">
        <v>1.379</v>
      </c>
      <c r="J118" s="55"/>
      <c r="K118" s="55"/>
      <c r="L118" s="55"/>
      <c r="M118" s="55">
        <f>0.139/2</f>
        <v>6.9500000000000006E-2</v>
      </c>
      <c r="N118" s="55">
        <v>0.13900000000000001</v>
      </c>
      <c r="O118" s="55">
        <v>37</v>
      </c>
      <c r="P118" s="55">
        <v>8</v>
      </c>
      <c r="Q118" s="55">
        <v>11</v>
      </c>
      <c r="R118" s="55">
        <v>13</v>
      </c>
      <c r="S118" s="55">
        <v>4</v>
      </c>
      <c r="T118" s="55"/>
      <c r="U118" s="55"/>
      <c r="V118" s="55">
        <v>2</v>
      </c>
      <c r="W118" s="55"/>
      <c r="X118" s="41">
        <v>2</v>
      </c>
      <c r="Y118" s="55">
        <f>72.8+472.8+62.4+12</f>
        <v>620</v>
      </c>
      <c r="Z118" s="55">
        <v>52.8</v>
      </c>
      <c r="AA118" s="55"/>
      <c r="AB118" s="55"/>
      <c r="AC118" s="79"/>
      <c r="AD118" s="45"/>
    </row>
    <row r="119" spans="1:30" ht="11.1" customHeight="1" x14ac:dyDescent="0.15">
      <c r="A119" s="42"/>
      <c r="B119" s="47"/>
      <c r="C119" s="10" t="s">
        <v>133</v>
      </c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42"/>
      <c r="Y119" s="56"/>
      <c r="Z119" s="56"/>
      <c r="AA119" s="56"/>
      <c r="AB119" s="56"/>
      <c r="AC119" s="79"/>
      <c r="AD119" s="45"/>
    </row>
    <row r="120" spans="1:30" ht="11.1" customHeight="1" x14ac:dyDescent="0.15">
      <c r="A120" s="42"/>
      <c r="B120" s="47"/>
      <c r="C120" s="17" t="s">
        <v>134</v>
      </c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42"/>
      <c r="Y120" s="56"/>
      <c r="Z120" s="56"/>
      <c r="AA120" s="56"/>
      <c r="AB120" s="56"/>
      <c r="AC120" s="79"/>
      <c r="AD120" s="45"/>
    </row>
    <row r="121" spans="1:30" ht="11.1" customHeight="1" x14ac:dyDescent="0.15">
      <c r="A121" s="43"/>
      <c r="B121" s="48"/>
      <c r="C121" s="28" t="s">
        <v>89</v>
      </c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43"/>
      <c r="Y121" s="57"/>
      <c r="Z121" s="57"/>
      <c r="AA121" s="57"/>
      <c r="AB121" s="57"/>
      <c r="AC121" s="80"/>
      <c r="AD121" s="45"/>
    </row>
    <row r="122" spans="1:30" ht="11.1" customHeight="1" x14ac:dyDescent="0.15">
      <c r="A122" s="44">
        <v>41</v>
      </c>
      <c r="B122" s="45" t="s">
        <v>135</v>
      </c>
      <c r="C122" s="29" t="s">
        <v>136</v>
      </c>
      <c r="D122" s="58">
        <v>0.88300000000000001</v>
      </c>
      <c r="E122" s="58"/>
      <c r="F122" s="58"/>
      <c r="G122" s="58">
        <f>1.422/6*15</f>
        <v>3.5550000000000002</v>
      </c>
      <c r="H122" s="58">
        <f>0.278+1.486</f>
        <v>1.764</v>
      </c>
      <c r="I122" s="58"/>
      <c r="J122" s="58"/>
      <c r="K122" s="58"/>
      <c r="L122" s="58"/>
      <c r="M122" s="58">
        <f>0.217/2</f>
        <v>0.1085</v>
      </c>
      <c r="N122" s="58">
        <v>0.217</v>
      </c>
      <c r="O122" s="58">
        <v>28</v>
      </c>
      <c r="P122" s="58">
        <v>4</v>
      </c>
      <c r="Q122" s="58">
        <v>8</v>
      </c>
      <c r="R122" s="58">
        <v>5</v>
      </c>
      <c r="S122" s="58">
        <v>1</v>
      </c>
      <c r="T122" s="58"/>
      <c r="U122" s="58"/>
      <c r="V122" s="58"/>
      <c r="W122" s="58"/>
      <c r="X122" s="44"/>
      <c r="Y122" s="58">
        <f>115.2+196+25.6+12</f>
        <v>348.8</v>
      </c>
      <c r="Z122" s="58">
        <v>80</v>
      </c>
      <c r="AA122" s="58"/>
      <c r="AB122" s="58"/>
      <c r="AC122" s="79"/>
      <c r="AD122" s="45"/>
    </row>
    <row r="123" spans="1:30" ht="11.1" customHeight="1" x14ac:dyDescent="0.15">
      <c r="A123" s="44"/>
      <c r="B123" s="45"/>
      <c r="C123" s="28" t="s">
        <v>134</v>
      </c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44"/>
      <c r="Y123" s="58"/>
      <c r="Z123" s="58"/>
      <c r="AA123" s="58"/>
      <c r="AB123" s="58"/>
      <c r="AC123" s="80"/>
      <c r="AD123" s="45"/>
    </row>
    <row r="124" spans="1:30" ht="11.1" customHeight="1" x14ac:dyDescent="0.15">
      <c r="A124" s="44">
        <v>42</v>
      </c>
      <c r="B124" s="45" t="s">
        <v>137</v>
      </c>
      <c r="C124" s="17" t="s">
        <v>138</v>
      </c>
      <c r="D124" s="58">
        <v>0.16600000000000001</v>
      </c>
      <c r="E124" s="58"/>
      <c r="F124" s="58">
        <f>0.074/2*6</f>
        <v>0.222</v>
      </c>
      <c r="G124" s="58"/>
      <c r="H124" s="58">
        <f>0.031+0.788</f>
        <v>0.81899999999999995</v>
      </c>
      <c r="I124" s="58"/>
      <c r="J124" s="58"/>
      <c r="K124" s="58"/>
      <c r="L124" s="58"/>
      <c r="M124" s="58"/>
      <c r="N124" s="58"/>
      <c r="O124" s="58"/>
      <c r="P124" s="58"/>
      <c r="Q124" s="58">
        <v>2</v>
      </c>
      <c r="R124" s="58">
        <v>2</v>
      </c>
      <c r="S124" s="58"/>
      <c r="T124" s="58"/>
      <c r="U124" s="58"/>
      <c r="V124" s="58"/>
      <c r="W124" s="58"/>
      <c r="X124" s="44"/>
      <c r="Y124" s="58">
        <f>40.8+4</f>
        <v>44.8</v>
      </c>
      <c r="Z124" s="58"/>
      <c r="AA124" s="58"/>
      <c r="AB124" s="58"/>
      <c r="AC124" s="79"/>
      <c r="AD124" s="45"/>
    </row>
    <row r="125" spans="1:30" ht="11.1" customHeight="1" x14ac:dyDescent="0.15">
      <c r="A125" s="44"/>
      <c r="B125" s="45"/>
      <c r="C125" s="10" t="s">
        <v>51</v>
      </c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44"/>
      <c r="Y125" s="58"/>
      <c r="Z125" s="58"/>
      <c r="AA125" s="58"/>
      <c r="AB125" s="58"/>
      <c r="AC125" s="80"/>
      <c r="AD125" s="45"/>
    </row>
    <row r="126" spans="1:30" ht="11.1" customHeight="1" x14ac:dyDescent="0.15">
      <c r="A126" s="44">
        <v>43</v>
      </c>
      <c r="B126" s="45" t="s">
        <v>139</v>
      </c>
      <c r="C126" s="17" t="s">
        <v>140</v>
      </c>
      <c r="D126" s="58">
        <f>1.984</f>
        <v>1.984</v>
      </c>
      <c r="E126" s="58"/>
      <c r="F126" s="58">
        <f>0.622/2*6</f>
        <v>1.8660000000000001</v>
      </c>
      <c r="G126" s="58"/>
      <c r="H126" s="58">
        <f>0.074+1.866</f>
        <v>1.94</v>
      </c>
      <c r="I126" s="58"/>
      <c r="J126" s="58"/>
      <c r="K126" s="58"/>
      <c r="L126" s="58"/>
      <c r="M126" s="58"/>
      <c r="N126" s="58"/>
      <c r="O126" s="58">
        <v>8</v>
      </c>
      <c r="P126" s="58"/>
      <c r="Q126" s="58"/>
      <c r="R126" s="58">
        <v>4</v>
      </c>
      <c r="S126" s="58">
        <v>4</v>
      </c>
      <c r="T126" s="58"/>
      <c r="U126" s="58"/>
      <c r="V126" s="58"/>
      <c r="W126" s="58"/>
      <c r="X126" s="44"/>
      <c r="Y126" s="58">
        <f>104.8+17.2+12</f>
        <v>134</v>
      </c>
      <c r="Z126" s="58"/>
      <c r="AA126" s="58"/>
      <c r="AB126" s="58">
        <v>8</v>
      </c>
      <c r="AC126" s="79"/>
      <c r="AD126" s="44"/>
    </row>
    <row r="127" spans="1:30" ht="31.5" x14ac:dyDescent="0.15">
      <c r="A127" s="44"/>
      <c r="B127" s="45"/>
      <c r="C127" s="16" t="s">
        <v>141</v>
      </c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44"/>
      <c r="Y127" s="58"/>
      <c r="Z127" s="58"/>
      <c r="AA127" s="58"/>
      <c r="AB127" s="58"/>
      <c r="AC127" s="80"/>
      <c r="AD127" s="44"/>
    </row>
    <row r="128" spans="1:30" ht="11.1" customHeight="1" x14ac:dyDescent="0.15">
      <c r="A128" s="44">
        <v>44</v>
      </c>
      <c r="B128" s="45" t="s">
        <v>142</v>
      </c>
      <c r="C128" s="17" t="s">
        <v>93</v>
      </c>
      <c r="D128" s="58">
        <f>0.255*2</f>
        <v>0.51</v>
      </c>
      <c r="E128" s="58"/>
      <c r="F128" s="58">
        <v>0.44</v>
      </c>
      <c r="G128" s="58"/>
      <c r="H128" s="58">
        <f>0.06</f>
        <v>0.06</v>
      </c>
      <c r="I128" s="58">
        <f>0.55</f>
        <v>0.55000000000000004</v>
      </c>
      <c r="J128" s="58"/>
      <c r="K128" s="58"/>
      <c r="L128" s="58"/>
      <c r="M128" s="58"/>
      <c r="N128" s="58"/>
      <c r="O128" s="58">
        <v>6</v>
      </c>
      <c r="P128" s="58">
        <v>4</v>
      </c>
      <c r="Q128" s="58">
        <v>4</v>
      </c>
      <c r="R128" s="58">
        <v>2</v>
      </c>
      <c r="S128" s="58">
        <v>2</v>
      </c>
      <c r="T128" s="58"/>
      <c r="U128" s="58"/>
      <c r="V128" s="58"/>
      <c r="W128" s="58"/>
      <c r="X128" s="44"/>
      <c r="Y128" s="58">
        <f>374.4+50</f>
        <v>424.4</v>
      </c>
      <c r="Z128" s="58"/>
      <c r="AA128" s="58"/>
      <c r="AB128" s="58">
        <v>4</v>
      </c>
      <c r="AC128" s="79"/>
      <c r="AD128" s="58"/>
    </row>
    <row r="129" spans="1:30" ht="11.1" customHeight="1" x14ac:dyDescent="0.15">
      <c r="A129" s="44"/>
      <c r="B129" s="45"/>
      <c r="C129" s="16" t="s">
        <v>143</v>
      </c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44"/>
      <c r="Y129" s="58"/>
      <c r="Z129" s="58"/>
      <c r="AA129" s="58"/>
      <c r="AB129" s="58"/>
      <c r="AC129" s="80"/>
      <c r="AD129" s="58"/>
    </row>
    <row r="130" spans="1:30" ht="11.1" customHeight="1" x14ac:dyDescent="0.15">
      <c r="A130" s="45">
        <v>45</v>
      </c>
      <c r="B130" s="45" t="s">
        <v>99</v>
      </c>
      <c r="C130" s="23" t="s">
        <v>144</v>
      </c>
      <c r="D130" s="58">
        <v>1.764</v>
      </c>
      <c r="E130" s="58"/>
      <c r="F130" s="58">
        <f>0.852*2+0.04*2</f>
        <v>1.784</v>
      </c>
      <c r="G130" s="58"/>
      <c r="H130" s="58">
        <f>0.03*4</f>
        <v>0.12</v>
      </c>
      <c r="I130" s="58">
        <v>1.764</v>
      </c>
      <c r="J130" s="58"/>
      <c r="K130" s="58"/>
      <c r="L130" s="58"/>
      <c r="M130" s="58"/>
      <c r="N130" s="58"/>
      <c r="O130" s="58">
        <v>10</v>
      </c>
      <c r="P130" s="58">
        <v>2</v>
      </c>
      <c r="Q130" s="58">
        <v>2</v>
      </c>
      <c r="R130" s="58">
        <v>1</v>
      </c>
      <c r="S130" s="58">
        <v>1</v>
      </c>
      <c r="T130" s="58"/>
      <c r="U130" s="58"/>
      <c r="V130" s="58"/>
      <c r="W130" s="58"/>
      <c r="X130" s="58"/>
      <c r="Y130" s="58">
        <f>29*2*2.4+29*2*0.4</f>
        <v>162.4</v>
      </c>
      <c r="Z130" s="58">
        <f>1.5*10</f>
        <v>15</v>
      </c>
      <c r="AA130" s="58"/>
      <c r="AB130" s="58"/>
      <c r="AC130" s="58"/>
      <c r="AD130" s="58"/>
    </row>
    <row r="131" spans="1:30" ht="11.1" customHeight="1" x14ac:dyDescent="0.15">
      <c r="A131" s="45"/>
      <c r="B131" s="45"/>
      <c r="C131" s="16" t="s">
        <v>145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</row>
    <row r="132" spans="1:30" ht="24" customHeight="1" x14ac:dyDescent="0.15">
      <c r="A132" s="14"/>
      <c r="B132" s="22"/>
      <c r="C132" s="30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Z132" s="5"/>
      <c r="AA132" s="5"/>
      <c r="AB132" s="5"/>
      <c r="AC132" s="5"/>
      <c r="AD132" s="5"/>
    </row>
    <row r="133" spans="1:30" ht="24" customHeight="1" x14ac:dyDescent="0.15">
      <c r="A133" s="14"/>
      <c r="B133" s="22"/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3"/>
      <c r="V133" s="33"/>
      <c r="W133" s="33"/>
      <c r="X133" s="33"/>
      <c r="Y133" s="33"/>
      <c r="Z133" s="33"/>
      <c r="AA133" s="33"/>
      <c r="AB133" s="33"/>
      <c r="AC133" s="34"/>
      <c r="AD133" s="33"/>
    </row>
    <row r="134" spans="1:30" ht="23.1" customHeight="1" x14ac:dyDescent="0.15">
      <c r="A134" s="32"/>
      <c r="B134" s="22"/>
      <c r="C134" s="3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Z134" s="5"/>
      <c r="AA134" s="5"/>
      <c r="AB134" s="5"/>
      <c r="AC134" s="5"/>
      <c r="AD134" s="5"/>
    </row>
    <row r="135" spans="1:30" ht="23.1" customHeight="1" x14ac:dyDescent="0.15"/>
    <row r="136" spans="1:30" ht="23.1" customHeight="1" x14ac:dyDescent="0.15"/>
  </sheetData>
  <autoFilter ref="A3:AD134"/>
  <mergeCells count="1644">
    <mergeCell ref="AD104:AD105"/>
    <mergeCell ref="AD106:AD107"/>
    <mergeCell ref="AD108:AD109"/>
    <mergeCell ref="AD110:AD111"/>
    <mergeCell ref="AD112:AD113"/>
    <mergeCell ref="AD114:AD115"/>
    <mergeCell ref="AD116:AD117"/>
    <mergeCell ref="AD118:AD121"/>
    <mergeCell ref="AD122:AD123"/>
    <mergeCell ref="AD124:AD125"/>
    <mergeCell ref="AD126:AD127"/>
    <mergeCell ref="AD128:AD129"/>
    <mergeCell ref="AD130:AD131"/>
    <mergeCell ref="AD66:AD67"/>
    <mergeCell ref="AD68:AD69"/>
    <mergeCell ref="AD70:AD71"/>
    <mergeCell ref="AD72:AD73"/>
    <mergeCell ref="AD74:AD75"/>
    <mergeCell ref="AD76:AD77"/>
    <mergeCell ref="AD78:AD79"/>
    <mergeCell ref="AD80:AD81"/>
    <mergeCell ref="AD82:AD85"/>
    <mergeCell ref="AD86:AD87"/>
    <mergeCell ref="AD88:AD89"/>
    <mergeCell ref="AD90:AD91"/>
    <mergeCell ref="AD92:AD93"/>
    <mergeCell ref="AD94:AD95"/>
    <mergeCell ref="AD96:AD97"/>
    <mergeCell ref="AD98:AD101"/>
    <mergeCell ref="AD102:AD103"/>
    <mergeCell ref="AC116:AC117"/>
    <mergeCell ref="AC118:AC121"/>
    <mergeCell ref="AC122:AC123"/>
    <mergeCell ref="AC124:AC125"/>
    <mergeCell ref="AC126:AC127"/>
    <mergeCell ref="AC128:AC129"/>
    <mergeCell ref="AC130:AC131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3"/>
    <mergeCell ref="AD24:AD29"/>
    <mergeCell ref="AD30:AD31"/>
    <mergeCell ref="AD32:AD35"/>
    <mergeCell ref="AD36:AD37"/>
    <mergeCell ref="AD38:AD43"/>
    <mergeCell ref="AD44:AD45"/>
    <mergeCell ref="AD46:AD47"/>
    <mergeCell ref="AD48:AD49"/>
    <mergeCell ref="AD50:AD51"/>
    <mergeCell ref="AD52:AD53"/>
    <mergeCell ref="AD54:AD55"/>
    <mergeCell ref="AD56:AD59"/>
    <mergeCell ref="AD60:AD61"/>
    <mergeCell ref="AD62:AD63"/>
    <mergeCell ref="AD64:AD65"/>
    <mergeCell ref="AC78:AC79"/>
    <mergeCell ref="AC80:AC81"/>
    <mergeCell ref="AC82:AC85"/>
    <mergeCell ref="AC86:AC87"/>
    <mergeCell ref="AC88:AC89"/>
    <mergeCell ref="AC90:AC91"/>
    <mergeCell ref="AC92:AC93"/>
    <mergeCell ref="AC94:AC95"/>
    <mergeCell ref="AC96:AC97"/>
    <mergeCell ref="AC98:AC101"/>
    <mergeCell ref="AC102:AC103"/>
    <mergeCell ref="AC104:AC105"/>
    <mergeCell ref="AC106:AC107"/>
    <mergeCell ref="AC108:AC109"/>
    <mergeCell ref="AC110:AC111"/>
    <mergeCell ref="AC112:AC113"/>
    <mergeCell ref="AC114:AC115"/>
    <mergeCell ref="AC38:AC43"/>
    <mergeCell ref="AC44:AC45"/>
    <mergeCell ref="AC46:AC47"/>
    <mergeCell ref="AC48:AC49"/>
    <mergeCell ref="AC50:AC51"/>
    <mergeCell ref="AC52:AC53"/>
    <mergeCell ref="AC54:AC55"/>
    <mergeCell ref="AC56:AC59"/>
    <mergeCell ref="AC60:AC61"/>
    <mergeCell ref="AC62:AC63"/>
    <mergeCell ref="AC64:AC65"/>
    <mergeCell ref="AC66:AC67"/>
    <mergeCell ref="AC68:AC69"/>
    <mergeCell ref="AC70:AC71"/>
    <mergeCell ref="AC72:AC73"/>
    <mergeCell ref="AC74:AC75"/>
    <mergeCell ref="AC76:AC77"/>
    <mergeCell ref="AB98:AB101"/>
    <mergeCell ref="AB102:AB103"/>
    <mergeCell ref="AB104:AB105"/>
    <mergeCell ref="AB106:AB107"/>
    <mergeCell ref="AB108:AB109"/>
    <mergeCell ref="AB110:AB111"/>
    <mergeCell ref="AB112:AB113"/>
    <mergeCell ref="AB114:AB115"/>
    <mergeCell ref="AB116:AB117"/>
    <mergeCell ref="AB118:AB121"/>
    <mergeCell ref="AB122:AB123"/>
    <mergeCell ref="AB124:AB125"/>
    <mergeCell ref="AB126:AB127"/>
    <mergeCell ref="AB128:AB129"/>
    <mergeCell ref="AB130:AB131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C28:AC29"/>
    <mergeCell ref="AC30:AC31"/>
    <mergeCell ref="AC32:AC35"/>
    <mergeCell ref="AC36:AC37"/>
    <mergeCell ref="AB62:AB63"/>
    <mergeCell ref="AB64:AB65"/>
    <mergeCell ref="AB66:AB67"/>
    <mergeCell ref="AB68:AB69"/>
    <mergeCell ref="AB70:AB71"/>
    <mergeCell ref="AB72:AB73"/>
    <mergeCell ref="AB74:AB75"/>
    <mergeCell ref="AB76:AB77"/>
    <mergeCell ref="AB78:AB79"/>
    <mergeCell ref="AB80:AB81"/>
    <mergeCell ref="AB82:AB85"/>
    <mergeCell ref="AB86:AB87"/>
    <mergeCell ref="AB88:AB89"/>
    <mergeCell ref="AB90:AB91"/>
    <mergeCell ref="AB92:AB93"/>
    <mergeCell ref="AB94:AB95"/>
    <mergeCell ref="AB96:AB97"/>
    <mergeCell ref="AA118:AA121"/>
    <mergeCell ref="AA122:AA123"/>
    <mergeCell ref="AA124:AA125"/>
    <mergeCell ref="AA126:AA127"/>
    <mergeCell ref="AA128:AA129"/>
    <mergeCell ref="AA130:AA131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B28:AB29"/>
    <mergeCell ref="AB30:AB31"/>
    <mergeCell ref="AB32:AB35"/>
    <mergeCell ref="AB36:AB37"/>
    <mergeCell ref="AB38:AB43"/>
    <mergeCell ref="AB44:AB45"/>
    <mergeCell ref="AB46:AB47"/>
    <mergeCell ref="AB48:AB49"/>
    <mergeCell ref="AB50:AB51"/>
    <mergeCell ref="AB52:AB53"/>
    <mergeCell ref="AB54:AB55"/>
    <mergeCell ref="AB56:AB59"/>
    <mergeCell ref="AB60:AB61"/>
    <mergeCell ref="AA80:AA81"/>
    <mergeCell ref="AA82:AA85"/>
    <mergeCell ref="AA86:AA87"/>
    <mergeCell ref="AA88:AA89"/>
    <mergeCell ref="AA90:AA91"/>
    <mergeCell ref="AA92:AA93"/>
    <mergeCell ref="AA94:AA95"/>
    <mergeCell ref="AA96:AA97"/>
    <mergeCell ref="AA98:AA101"/>
    <mergeCell ref="AA102:AA103"/>
    <mergeCell ref="AA104:AA105"/>
    <mergeCell ref="AA106:AA107"/>
    <mergeCell ref="AA108:AA109"/>
    <mergeCell ref="AA110:AA111"/>
    <mergeCell ref="AA112:AA113"/>
    <mergeCell ref="AA114:AA115"/>
    <mergeCell ref="AA116:AA117"/>
    <mergeCell ref="AA44:AA45"/>
    <mergeCell ref="AA46:AA47"/>
    <mergeCell ref="AA48:AA49"/>
    <mergeCell ref="AA50:AA51"/>
    <mergeCell ref="AA52:AA53"/>
    <mergeCell ref="AA54:AA55"/>
    <mergeCell ref="AA56:AA59"/>
    <mergeCell ref="AA60:AA61"/>
    <mergeCell ref="AA62:AA63"/>
    <mergeCell ref="AA64:AA65"/>
    <mergeCell ref="AA66:AA67"/>
    <mergeCell ref="AA68:AA69"/>
    <mergeCell ref="AA70:AA71"/>
    <mergeCell ref="AA72:AA73"/>
    <mergeCell ref="AA74:AA75"/>
    <mergeCell ref="AA76:AA77"/>
    <mergeCell ref="AA78:AA79"/>
    <mergeCell ref="Z102:Z103"/>
    <mergeCell ref="Z104:Z105"/>
    <mergeCell ref="Z106:Z107"/>
    <mergeCell ref="Z108:Z109"/>
    <mergeCell ref="Z110:Z111"/>
    <mergeCell ref="Z112:Z113"/>
    <mergeCell ref="Z114:Z115"/>
    <mergeCell ref="Z116:Z117"/>
    <mergeCell ref="Z118:Z121"/>
    <mergeCell ref="Z122:Z123"/>
    <mergeCell ref="Z124:Z125"/>
    <mergeCell ref="Z126:Z127"/>
    <mergeCell ref="Z128:Z129"/>
    <mergeCell ref="Z130:Z131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A28:AA29"/>
    <mergeCell ref="AA30:AA31"/>
    <mergeCell ref="AA32:AA35"/>
    <mergeCell ref="AA36:AA37"/>
    <mergeCell ref="AA38:AA43"/>
    <mergeCell ref="Z64:Z65"/>
    <mergeCell ref="Z66:Z67"/>
    <mergeCell ref="Z68:Z69"/>
    <mergeCell ref="Z70:Z71"/>
    <mergeCell ref="Z72:Z73"/>
    <mergeCell ref="Z74:Z75"/>
    <mergeCell ref="Z76:Z77"/>
    <mergeCell ref="Z78:Z79"/>
    <mergeCell ref="Z80:Z81"/>
    <mergeCell ref="Z82:Z85"/>
    <mergeCell ref="Z86:Z87"/>
    <mergeCell ref="Z88:Z89"/>
    <mergeCell ref="Z90:Z91"/>
    <mergeCell ref="Z92:Z93"/>
    <mergeCell ref="Z94:Z95"/>
    <mergeCell ref="Z96:Z97"/>
    <mergeCell ref="Z98:Z101"/>
    <mergeCell ref="Y122:Y123"/>
    <mergeCell ref="Y124:Y125"/>
    <mergeCell ref="Y126:Y127"/>
    <mergeCell ref="Y128:Y129"/>
    <mergeCell ref="Y130:Y131"/>
    <mergeCell ref="Z2:Z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5"/>
    <mergeCell ref="Z36:Z37"/>
    <mergeCell ref="Z38:Z43"/>
    <mergeCell ref="Z44:Z45"/>
    <mergeCell ref="Z46:Z47"/>
    <mergeCell ref="Z48:Z49"/>
    <mergeCell ref="Z50:Z51"/>
    <mergeCell ref="Z52:Z53"/>
    <mergeCell ref="Z54:Z55"/>
    <mergeCell ref="Z56:Z59"/>
    <mergeCell ref="Z60:Z61"/>
    <mergeCell ref="Z62:Z63"/>
    <mergeCell ref="Y82:Y85"/>
    <mergeCell ref="Y86:Y87"/>
    <mergeCell ref="Y88:Y89"/>
    <mergeCell ref="Y90:Y91"/>
    <mergeCell ref="Y92:Y93"/>
    <mergeCell ref="Y94:Y95"/>
    <mergeCell ref="Y96:Y97"/>
    <mergeCell ref="Y98:Y101"/>
    <mergeCell ref="Y102:Y103"/>
    <mergeCell ref="Y104:Y105"/>
    <mergeCell ref="Y106:Y107"/>
    <mergeCell ref="Y108:Y109"/>
    <mergeCell ref="Y110:Y111"/>
    <mergeCell ref="Y112:Y113"/>
    <mergeCell ref="Y114:Y115"/>
    <mergeCell ref="Y116:Y117"/>
    <mergeCell ref="Y118:Y121"/>
    <mergeCell ref="Y46:Y47"/>
    <mergeCell ref="Y48:Y49"/>
    <mergeCell ref="Y50:Y51"/>
    <mergeCell ref="Y52:Y53"/>
    <mergeCell ref="Y54:Y55"/>
    <mergeCell ref="Y56:Y59"/>
    <mergeCell ref="Y60:Y61"/>
    <mergeCell ref="Y62:Y63"/>
    <mergeCell ref="Y64:Y65"/>
    <mergeCell ref="Y66:Y67"/>
    <mergeCell ref="Y68:Y69"/>
    <mergeCell ref="Y70:Y71"/>
    <mergeCell ref="Y72:Y73"/>
    <mergeCell ref="Y74:Y75"/>
    <mergeCell ref="Y76:Y77"/>
    <mergeCell ref="Y78:Y79"/>
    <mergeCell ref="Y80:Y81"/>
    <mergeCell ref="X104:X105"/>
    <mergeCell ref="X106:X107"/>
    <mergeCell ref="X108:X109"/>
    <mergeCell ref="X110:X111"/>
    <mergeCell ref="X112:X113"/>
    <mergeCell ref="X114:X115"/>
    <mergeCell ref="X116:X117"/>
    <mergeCell ref="X118:X121"/>
    <mergeCell ref="X122:X123"/>
    <mergeCell ref="X124:X125"/>
    <mergeCell ref="X126:X127"/>
    <mergeCell ref="X128:X129"/>
    <mergeCell ref="X130:X131"/>
    <mergeCell ref="Y2:Y3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5"/>
    <mergeCell ref="Y36:Y37"/>
    <mergeCell ref="Y38:Y43"/>
    <mergeCell ref="Y44:Y45"/>
    <mergeCell ref="X66:X67"/>
    <mergeCell ref="X68:X69"/>
    <mergeCell ref="X70:X71"/>
    <mergeCell ref="X72:X73"/>
    <mergeCell ref="X74:X75"/>
    <mergeCell ref="X76:X77"/>
    <mergeCell ref="X78:X79"/>
    <mergeCell ref="X80:X81"/>
    <mergeCell ref="X82:X85"/>
    <mergeCell ref="X86:X87"/>
    <mergeCell ref="X88:X89"/>
    <mergeCell ref="X90:X91"/>
    <mergeCell ref="X92:X93"/>
    <mergeCell ref="X94:X95"/>
    <mergeCell ref="X96:X97"/>
    <mergeCell ref="X98:X101"/>
    <mergeCell ref="X102:X103"/>
    <mergeCell ref="W124:W125"/>
    <mergeCell ref="W126:W127"/>
    <mergeCell ref="W128:W129"/>
    <mergeCell ref="W130:W131"/>
    <mergeCell ref="X2:X3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X30:X31"/>
    <mergeCell ref="X32:X35"/>
    <mergeCell ref="X36:X37"/>
    <mergeCell ref="X38:X43"/>
    <mergeCell ref="X44:X45"/>
    <mergeCell ref="X46:X47"/>
    <mergeCell ref="X48:X49"/>
    <mergeCell ref="X50:X51"/>
    <mergeCell ref="X52:X53"/>
    <mergeCell ref="X54:X55"/>
    <mergeCell ref="X56:X59"/>
    <mergeCell ref="X60:X61"/>
    <mergeCell ref="X62:X63"/>
    <mergeCell ref="X64:X65"/>
    <mergeCell ref="W86:W87"/>
    <mergeCell ref="W88:W89"/>
    <mergeCell ref="W90:W91"/>
    <mergeCell ref="W92:W93"/>
    <mergeCell ref="W94:W95"/>
    <mergeCell ref="W96:W97"/>
    <mergeCell ref="W98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21"/>
    <mergeCell ref="W122:W123"/>
    <mergeCell ref="W48:W49"/>
    <mergeCell ref="W50:W51"/>
    <mergeCell ref="W52:W53"/>
    <mergeCell ref="W54:W55"/>
    <mergeCell ref="W56:W59"/>
    <mergeCell ref="W60:W61"/>
    <mergeCell ref="W62:W63"/>
    <mergeCell ref="W64:W65"/>
    <mergeCell ref="W66:W67"/>
    <mergeCell ref="W68:W69"/>
    <mergeCell ref="W70:W71"/>
    <mergeCell ref="W72:W73"/>
    <mergeCell ref="W74:W75"/>
    <mergeCell ref="W76:W77"/>
    <mergeCell ref="W78:W79"/>
    <mergeCell ref="W80:W81"/>
    <mergeCell ref="W82:W85"/>
    <mergeCell ref="V104:V105"/>
    <mergeCell ref="V106:V107"/>
    <mergeCell ref="V108:V109"/>
    <mergeCell ref="V110:V111"/>
    <mergeCell ref="V112:V113"/>
    <mergeCell ref="V114:V115"/>
    <mergeCell ref="V116:V117"/>
    <mergeCell ref="V118:V121"/>
    <mergeCell ref="V122:V123"/>
    <mergeCell ref="V124:V125"/>
    <mergeCell ref="V126:V127"/>
    <mergeCell ref="V128:V129"/>
    <mergeCell ref="V130:V131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W30:W31"/>
    <mergeCell ref="W32:W35"/>
    <mergeCell ref="W36:W37"/>
    <mergeCell ref="W38:W43"/>
    <mergeCell ref="W44:W45"/>
    <mergeCell ref="W46:W47"/>
    <mergeCell ref="V66:V67"/>
    <mergeCell ref="V68:V69"/>
    <mergeCell ref="V70:V71"/>
    <mergeCell ref="V72:V73"/>
    <mergeCell ref="V74:V75"/>
    <mergeCell ref="V76:V77"/>
    <mergeCell ref="V78:V79"/>
    <mergeCell ref="V80:V81"/>
    <mergeCell ref="V82:V85"/>
    <mergeCell ref="V86:V87"/>
    <mergeCell ref="V88:V89"/>
    <mergeCell ref="V90:V91"/>
    <mergeCell ref="V92:V93"/>
    <mergeCell ref="V94:V95"/>
    <mergeCell ref="V96:V97"/>
    <mergeCell ref="V98:V101"/>
    <mergeCell ref="V102:V103"/>
    <mergeCell ref="U122:U123"/>
    <mergeCell ref="U124:U125"/>
    <mergeCell ref="U126:U127"/>
    <mergeCell ref="U128:U129"/>
    <mergeCell ref="U130:U131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V30:V31"/>
    <mergeCell ref="V32:V35"/>
    <mergeCell ref="V36:V37"/>
    <mergeCell ref="V38:V43"/>
    <mergeCell ref="V44:V45"/>
    <mergeCell ref="V46:V47"/>
    <mergeCell ref="V48:V49"/>
    <mergeCell ref="V50:V51"/>
    <mergeCell ref="V52:V53"/>
    <mergeCell ref="V54:V55"/>
    <mergeCell ref="V56:V59"/>
    <mergeCell ref="V60:V61"/>
    <mergeCell ref="V62:V63"/>
    <mergeCell ref="V64:V65"/>
    <mergeCell ref="U82:U85"/>
    <mergeCell ref="U86:U87"/>
    <mergeCell ref="U88:U89"/>
    <mergeCell ref="U90:U91"/>
    <mergeCell ref="U92:U93"/>
    <mergeCell ref="U94:U95"/>
    <mergeCell ref="U96:U97"/>
    <mergeCell ref="U98:U101"/>
    <mergeCell ref="U102:U103"/>
    <mergeCell ref="U104:U105"/>
    <mergeCell ref="U106:U107"/>
    <mergeCell ref="U108:U109"/>
    <mergeCell ref="U110:U111"/>
    <mergeCell ref="U112:U113"/>
    <mergeCell ref="U114:U115"/>
    <mergeCell ref="U116:U117"/>
    <mergeCell ref="U118:U121"/>
    <mergeCell ref="U46:U47"/>
    <mergeCell ref="U48:U49"/>
    <mergeCell ref="U50:U51"/>
    <mergeCell ref="U52:U53"/>
    <mergeCell ref="U54:U55"/>
    <mergeCell ref="U56:U59"/>
    <mergeCell ref="U60:U61"/>
    <mergeCell ref="U62:U63"/>
    <mergeCell ref="U64:U65"/>
    <mergeCell ref="U66:U67"/>
    <mergeCell ref="U68:U69"/>
    <mergeCell ref="U70:U71"/>
    <mergeCell ref="U72:U73"/>
    <mergeCell ref="U74:U75"/>
    <mergeCell ref="U76:U77"/>
    <mergeCell ref="U78:U79"/>
    <mergeCell ref="U80:U81"/>
    <mergeCell ref="T102:T103"/>
    <mergeCell ref="T104:T105"/>
    <mergeCell ref="T106:T107"/>
    <mergeCell ref="T108:T109"/>
    <mergeCell ref="T110:T111"/>
    <mergeCell ref="T112:T113"/>
    <mergeCell ref="T114:T115"/>
    <mergeCell ref="T116:T117"/>
    <mergeCell ref="T118:T121"/>
    <mergeCell ref="T122:T123"/>
    <mergeCell ref="T124:T125"/>
    <mergeCell ref="T126:T127"/>
    <mergeCell ref="T128:T129"/>
    <mergeCell ref="T130:T131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U28:U29"/>
    <mergeCell ref="U30:U31"/>
    <mergeCell ref="U32:U35"/>
    <mergeCell ref="U36:U37"/>
    <mergeCell ref="U38:U43"/>
    <mergeCell ref="U44:U45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  <mergeCell ref="T82:T85"/>
    <mergeCell ref="T86:T87"/>
    <mergeCell ref="T88:T89"/>
    <mergeCell ref="T90:T91"/>
    <mergeCell ref="T92:T93"/>
    <mergeCell ref="T94:T95"/>
    <mergeCell ref="T96:T97"/>
    <mergeCell ref="T98:T101"/>
    <mergeCell ref="S118:S121"/>
    <mergeCell ref="S122:S123"/>
    <mergeCell ref="S124:S125"/>
    <mergeCell ref="S126:S127"/>
    <mergeCell ref="S128:S129"/>
    <mergeCell ref="S130:S131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5"/>
    <mergeCell ref="T36:T37"/>
    <mergeCell ref="T38:T43"/>
    <mergeCell ref="T44:T45"/>
    <mergeCell ref="T46:T47"/>
    <mergeCell ref="T48:T49"/>
    <mergeCell ref="T50:T51"/>
    <mergeCell ref="T52:T53"/>
    <mergeCell ref="T54:T55"/>
    <mergeCell ref="T56:T59"/>
    <mergeCell ref="T60:T61"/>
    <mergeCell ref="T62:T63"/>
    <mergeCell ref="S80:S81"/>
    <mergeCell ref="S82:S85"/>
    <mergeCell ref="S86:S87"/>
    <mergeCell ref="S88:S89"/>
    <mergeCell ref="S90:S91"/>
    <mergeCell ref="S92:S93"/>
    <mergeCell ref="S94:S95"/>
    <mergeCell ref="S96:S97"/>
    <mergeCell ref="S98:S101"/>
    <mergeCell ref="S102:S103"/>
    <mergeCell ref="S104:S105"/>
    <mergeCell ref="S106:S107"/>
    <mergeCell ref="S108:S109"/>
    <mergeCell ref="S110:S111"/>
    <mergeCell ref="S112:S113"/>
    <mergeCell ref="S114:S115"/>
    <mergeCell ref="S116:S117"/>
    <mergeCell ref="S44:S45"/>
    <mergeCell ref="S46:S47"/>
    <mergeCell ref="S48:S49"/>
    <mergeCell ref="S50:S51"/>
    <mergeCell ref="S52:S53"/>
    <mergeCell ref="S54:S55"/>
    <mergeCell ref="S56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5"/>
    <mergeCell ref="S36:S37"/>
    <mergeCell ref="S38:S43"/>
    <mergeCell ref="R94:R95"/>
    <mergeCell ref="R96:R97"/>
    <mergeCell ref="R98:R101"/>
    <mergeCell ref="R102:R103"/>
    <mergeCell ref="R104:R105"/>
    <mergeCell ref="R106:R107"/>
    <mergeCell ref="R108:R109"/>
    <mergeCell ref="R110:R111"/>
    <mergeCell ref="R112:R113"/>
    <mergeCell ref="R114:R115"/>
    <mergeCell ref="R116:R117"/>
    <mergeCell ref="R118:R121"/>
    <mergeCell ref="R122:R123"/>
    <mergeCell ref="R124:R125"/>
    <mergeCell ref="R126:R127"/>
    <mergeCell ref="R128:R129"/>
    <mergeCell ref="R130:R131"/>
    <mergeCell ref="R56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5"/>
    <mergeCell ref="R86:R87"/>
    <mergeCell ref="R88:R89"/>
    <mergeCell ref="R90:R91"/>
    <mergeCell ref="R92:R93"/>
    <mergeCell ref="Q112:Q113"/>
    <mergeCell ref="Q114:Q115"/>
    <mergeCell ref="Q116:Q117"/>
    <mergeCell ref="Q118:Q121"/>
    <mergeCell ref="Q122:Q123"/>
    <mergeCell ref="Q124:Q125"/>
    <mergeCell ref="Q126:Q127"/>
    <mergeCell ref="Q128:Q129"/>
    <mergeCell ref="Q130:Q131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5"/>
    <mergeCell ref="R36:R37"/>
    <mergeCell ref="R38:R43"/>
    <mergeCell ref="R44:R45"/>
    <mergeCell ref="R46:R47"/>
    <mergeCell ref="R48:R49"/>
    <mergeCell ref="R50:R51"/>
    <mergeCell ref="R52:R53"/>
    <mergeCell ref="R54:R55"/>
    <mergeCell ref="Q74:Q75"/>
    <mergeCell ref="Q76:Q77"/>
    <mergeCell ref="Q78:Q79"/>
    <mergeCell ref="Q80:Q81"/>
    <mergeCell ref="Q82:Q85"/>
    <mergeCell ref="Q86:Q87"/>
    <mergeCell ref="Q88:Q89"/>
    <mergeCell ref="Q90:Q91"/>
    <mergeCell ref="Q92:Q93"/>
    <mergeCell ref="Q94:Q95"/>
    <mergeCell ref="Q96:Q97"/>
    <mergeCell ref="Q98:Q101"/>
    <mergeCell ref="Q102:Q103"/>
    <mergeCell ref="Q104:Q105"/>
    <mergeCell ref="Q106:Q107"/>
    <mergeCell ref="Q108:Q109"/>
    <mergeCell ref="Q110:Q111"/>
    <mergeCell ref="P130:P131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5"/>
    <mergeCell ref="Q36:Q37"/>
    <mergeCell ref="Q38:Q43"/>
    <mergeCell ref="Q44:Q45"/>
    <mergeCell ref="Q46:Q47"/>
    <mergeCell ref="Q48:Q49"/>
    <mergeCell ref="Q50:Q51"/>
    <mergeCell ref="Q52:Q53"/>
    <mergeCell ref="Q54:Q55"/>
    <mergeCell ref="Q56:Q59"/>
    <mergeCell ref="Q60:Q61"/>
    <mergeCell ref="Q62:Q63"/>
    <mergeCell ref="Q64:Q65"/>
    <mergeCell ref="Q66:Q67"/>
    <mergeCell ref="Q68:Q69"/>
    <mergeCell ref="Q70:Q71"/>
    <mergeCell ref="Q72:Q73"/>
    <mergeCell ref="P92:P93"/>
    <mergeCell ref="P94:P95"/>
    <mergeCell ref="P96:P97"/>
    <mergeCell ref="P98:P101"/>
    <mergeCell ref="P102:P103"/>
    <mergeCell ref="P104:P105"/>
    <mergeCell ref="P106:P107"/>
    <mergeCell ref="P108:P109"/>
    <mergeCell ref="P110:P111"/>
    <mergeCell ref="P112:P113"/>
    <mergeCell ref="P114:P115"/>
    <mergeCell ref="P116:P117"/>
    <mergeCell ref="P118:P121"/>
    <mergeCell ref="P122:P123"/>
    <mergeCell ref="P124:P125"/>
    <mergeCell ref="P126:P127"/>
    <mergeCell ref="P128:P129"/>
    <mergeCell ref="P54:P55"/>
    <mergeCell ref="P56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5"/>
    <mergeCell ref="P86:P87"/>
    <mergeCell ref="P88:P89"/>
    <mergeCell ref="P90:P91"/>
    <mergeCell ref="O110:O111"/>
    <mergeCell ref="O112:O113"/>
    <mergeCell ref="O114:O115"/>
    <mergeCell ref="O116:O117"/>
    <mergeCell ref="O118:O121"/>
    <mergeCell ref="O122:O123"/>
    <mergeCell ref="O124:O125"/>
    <mergeCell ref="O126:O127"/>
    <mergeCell ref="O128:O129"/>
    <mergeCell ref="O130:O131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5"/>
    <mergeCell ref="P36:P37"/>
    <mergeCell ref="P38:P43"/>
    <mergeCell ref="P44:P45"/>
    <mergeCell ref="P46:P47"/>
    <mergeCell ref="P48:P49"/>
    <mergeCell ref="P50:P51"/>
    <mergeCell ref="P52:P53"/>
    <mergeCell ref="O72:O73"/>
    <mergeCell ref="O74:O75"/>
    <mergeCell ref="O76:O77"/>
    <mergeCell ref="O78:O79"/>
    <mergeCell ref="O80:O81"/>
    <mergeCell ref="O82:O85"/>
    <mergeCell ref="O86:O87"/>
    <mergeCell ref="O88:O89"/>
    <mergeCell ref="O90:O91"/>
    <mergeCell ref="O92:O93"/>
    <mergeCell ref="O94:O95"/>
    <mergeCell ref="O96:O97"/>
    <mergeCell ref="O98:O101"/>
    <mergeCell ref="O102:O103"/>
    <mergeCell ref="O104:O105"/>
    <mergeCell ref="O106:O107"/>
    <mergeCell ref="O108:O109"/>
    <mergeCell ref="N128:N129"/>
    <mergeCell ref="N130:N131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5"/>
    <mergeCell ref="O36:O37"/>
    <mergeCell ref="O38:O43"/>
    <mergeCell ref="O44:O45"/>
    <mergeCell ref="O46:O47"/>
    <mergeCell ref="O48:O49"/>
    <mergeCell ref="O50:O51"/>
    <mergeCell ref="O52:O53"/>
    <mergeCell ref="O54:O55"/>
    <mergeCell ref="O56:O59"/>
    <mergeCell ref="O60:O61"/>
    <mergeCell ref="O62:O63"/>
    <mergeCell ref="O64:O65"/>
    <mergeCell ref="O66:O67"/>
    <mergeCell ref="O68:O69"/>
    <mergeCell ref="O70:O71"/>
    <mergeCell ref="N90:N91"/>
    <mergeCell ref="N92:N93"/>
    <mergeCell ref="N94:N95"/>
    <mergeCell ref="N96:N97"/>
    <mergeCell ref="N98:N101"/>
    <mergeCell ref="N102:N103"/>
    <mergeCell ref="N104:N105"/>
    <mergeCell ref="N106:N107"/>
    <mergeCell ref="N108:N109"/>
    <mergeCell ref="N110:N111"/>
    <mergeCell ref="N112:N113"/>
    <mergeCell ref="N114:N115"/>
    <mergeCell ref="N116:N117"/>
    <mergeCell ref="N118:N121"/>
    <mergeCell ref="N122:N123"/>
    <mergeCell ref="N124:N125"/>
    <mergeCell ref="N126:N127"/>
    <mergeCell ref="N52:N53"/>
    <mergeCell ref="N54:N55"/>
    <mergeCell ref="N56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5"/>
    <mergeCell ref="N86:N87"/>
    <mergeCell ref="N88:N89"/>
    <mergeCell ref="M108:M109"/>
    <mergeCell ref="M110:M111"/>
    <mergeCell ref="M112:M113"/>
    <mergeCell ref="M114:M115"/>
    <mergeCell ref="M116:M117"/>
    <mergeCell ref="M118:M121"/>
    <mergeCell ref="M122:M123"/>
    <mergeCell ref="M124:M125"/>
    <mergeCell ref="M126:M127"/>
    <mergeCell ref="M128:M129"/>
    <mergeCell ref="M130:M131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5"/>
    <mergeCell ref="N36:N37"/>
    <mergeCell ref="N38:N43"/>
    <mergeCell ref="N44:N45"/>
    <mergeCell ref="N46:N47"/>
    <mergeCell ref="N48:N49"/>
    <mergeCell ref="N50:N51"/>
    <mergeCell ref="M70:M71"/>
    <mergeCell ref="M72:M73"/>
    <mergeCell ref="M74:M75"/>
    <mergeCell ref="M76:M77"/>
    <mergeCell ref="M78:M79"/>
    <mergeCell ref="M80:M81"/>
    <mergeCell ref="M82:M85"/>
    <mergeCell ref="M86:M87"/>
    <mergeCell ref="M88:M89"/>
    <mergeCell ref="M90:M91"/>
    <mergeCell ref="M92:M93"/>
    <mergeCell ref="M94:M95"/>
    <mergeCell ref="M96:M97"/>
    <mergeCell ref="M98:M101"/>
    <mergeCell ref="M102:M103"/>
    <mergeCell ref="M104:M105"/>
    <mergeCell ref="M106:M107"/>
    <mergeCell ref="L126:L127"/>
    <mergeCell ref="L128:L129"/>
    <mergeCell ref="L130:L131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5"/>
    <mergeCell ref="M36:M37"/>
    <mergeCell ref="M38:M43"/>
    <mergeCell ref="M44:M45"/>
    <mergeCell ref="M46:M47"/>
    <mergeCell ref="M48:M49"/>
    <mergeCell ref="M50:M51"/>
    <mergeCell ref="M52:M53"/>
    <mergeCell ref="M54:M55"/>
    <mergeCell ref="M56:M59"/>
    <mergeCell ref="M60:M61"/>
    <mergeCell ref="M62:M63"/>
    <mergeCell ref="M64:M65"/>
    <mergeCell ref="M66:M67"/>
    <mergeCell ref="M68:M69"/>
    <mergeCell ref="L88:L89"/>
    <mergeCell ref="L90:L91"/>
    <mergeCell ref="L92:L93"/>
    <mergeCell ref="L94:L95"/>
    <mergeCell ref="L96:L97"/>
    <mergeCell ref="L98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21"/>
    <mergeCell ref="L122:L123"/>
    <mergeCell ref="L124:L125"/>
    <mergeCell ref="L50:L51"/>
    <mergeCell ref="L52:L53"/>
    <mergeCell ref="L54:L55"/>
    <mergeCell ref="L56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5"/>
    <mergeCell ref="L86:L87"/>
    <mergeCell ref="K108:K109"/>
    <mergeCell ref="K110:K111"/>
    <mergeCell ref="K112:K113"/>
    <mergeCell ref="K114:K115"/>
    <mergeCell ref="K116:K117"/>
    <mergeCell ref="K118:K121"/>
    <mergeCell ref="K122:K123"/>
    <mergeCell ref="K124:K125"/>
    <mergeCell ref="K126:K127"/>
    <mergeCell ref="K128:K129"/>
    <mergeCell ref="K130:K131"/>
    <mergeCell ref="L2:L3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5"/>
    <mergeCell ref="L36:L37"/>
    <mergeCell ref="L38:L43"/>
    <mergeCell ref="L44:L45"/>
    <mergeCell ref="L46:L47"/>
    <mergeCell ref="L48:L49"/>
    <mergeCell ref="K70:K71"/>
    <mergeCell ref="K72:K73"/>
    <mergeCell ref="K74:K75"/>
    <mergeCell ref="K76:K77"/>
    <mergeCell ref="K78:K79"/>
    <mergeCell ref="K80:K81"/>
    <mergeCell ref="K82:K85"/>
    <mergeCell ref="K86:K87"/>
    <mergeCell ref="K88:K89"/>
    <mergeCell ref="K90:K91"/>
    <mergeCell ref="K92:K93"/>
    <mergeCell ref="K94:K95"/>
    <mergeCell ref="K96:K97"/>
    <mergeCell ref="K98:K101"/>
    <mergeCell ref="K102:K103"/>
    <mergeCell ref="K104:K105"/>
    <mergeCell ref="K106:K107"/>
    <mergeCell ref="J128:J129"/>
    <mergeCell ref="J130:J131"/>
    <mergeCell ref="K2:K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5"/>
    <mergeCell ref="K36:K37"/>
    <mergeCell ref="K38:K43"/>
    <mergeCell ref="K44:K45"/>
    <mergeCell ref="K46:K47"/>
    <mergeCell ref="K48:K49"/>
    <mergeCell ref="K50:K51"/>
    <mergeCell ref="K52:K53"/>
    <mergeCell ref="K54:K55"/>
    <mergeCell ref="K56:K59"/>
    <mergeCell ref="K60:K61"/>
    <mergeCell ref="K62:K63"/>
    <mergeCell ref="K64:K65"/>
    <mergeCell ref="K66:K67"/>
    <mergeCell ref="K68:K69"/>
    <mergeCell ref="J90:J91"/>
    <mergeCell ref="J92:J93"/>
    <mergeCell ref="J94:J95"/>
    <mergeCell ref="J96:J97"/>
    <mergeCell ref="J98:J101"/>
    <mergeCell ref="J102:J103"/>
    <mergeCell ref="J104:J105"/>
    <mergeCell ref="J106:J107"/>
    <mergeCell ref="J108:J109"/>
    <mergeCell ref="J110:J111"/>
    <mergeCell ref="J112:J113"/>
    <mergeCell ref="J114:J115"/>
    <mergeCell ref="J116:J117"/>
    <mergeCell ref="J118:J121"/>
    <mergeCell ref="J122:J123"/>
    <mergeCell ref="J124:J125"/>
    <mergeCell ref="J126:J127"/>
    <mergeCell ref="J52:J53"/>
    <mergeCell ref="J54:J55"/>
    <mergeCell ref="J56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5"/>
    <mergeCell ref="J86:J87"/>
    <mergeCell ref="J88:J89"/>
    <mergeCell ref="I110:I111"/>
    <mergeCell ref="I112:I113"/>
    <mergeCell ref="I114:I115"/>
    <mergeCell ref="I116:I117"/>
    <mergeCell ref="I118:I121"/>
    <mergeCell ref="I122:I123"/>
    <mergeCell ref="I124:I125"/>
    <mergeCell ref="I126:I127"/>
    <mergeCell ref="I128:I129"/>
    <mergeCell ref="I130:I131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5"/>
    <mergeCell ref="J36:J37"/>
    <mergeCell ref="J38:J43"/>
    <mergeCell ref="J44:J45"/>
    <mergeCell ref="J46:J47"/>
    <mergeCell ref="J48:J49"/>
    <mergeCell ref="J50:J51"/>
    <mergeCell ref="I72:I73"/>
    <mergeCell ref="I74:I75"/>
    <mergeCell ref="I76:I77"/>
    <mergeCell ref="I78:I79"/>
    <mergeCell ref="I80:I81"/>
    <mergeCell ref="I82:I85"/>
    <mergeCell ref="I86:I87"/>
    <mergeCell ref="I88:I89"/>
    <mergeCell ref="I90:I91"/>
    <mergeCell ref="I92:I93"/>
    <mergeCell ref="I94:I95"/>
    <mergeCell ref="I96:I97"/>
    <mergeCell ref="I98:I101"/>
    <mergeCell ref="I102:I103"/>
    <mergeCell ref="I104:I105"/>
    <mergeCell ref="I106:I107"/>
    <mergeCell ref="I108:I109"/>
    <mergeCell ref="H128:H129"/>
    <mergeCell ref="H130:H131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5"/>
    <mergeCell ref="I36:I37"/>
    <mergeCell ref="I38:I43"/>
    <mergeCell ref="I44:I45"/>
    <mergeCell ref="I46:I47"/>
    <mergeCell ref="I48:I49"/>
    <mergeCell ref="I50:I51"/>
    <mergeCell ref="I52:I53"/>
    <mergeCell ref="I54:I55"/>
    <mergeCell ref="I56:I59"/>
    <mergeCell ref="I60:I61"/>
    <mergeCell ref="I62:I63"/>
    <mergeCell ref="I64:I65"/>
    <mergeCell ref="I66:I67"/>
    <mergeCell ref="I68:I69"/>
    <mergeCell ref="I70:I71"/>
    <mergeCell ref="H90:H91"/>
    <mergeCell ref="H92:H93"/>
    <mergeCell ref="H94:H95"/>
    <mergeCell ref="H96:H97"/>
    <mergeCell ref="H98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21"/>
    <mergeCell ref="H122:H123"/>
    <mergeCell ref="H124:H125"/>
    <mergeCell ref="H126:H127"/>
    <mergeCell ref="H52:H53"/>
    <mergeCell ref="H54:H55"/>
    <mergeCell ref="H56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5"/>
    <mergeCell ref="H86:H87"/>
    <mergeCell ref="H88:H89"/>
    <mergeCell ref="G108:G109"/>
    <mergeCell ref="G110:G111"/>
    <mergeCell ref="G112:G113"/>
    <mergeCell ref="G114:G115"/>
    <mergeCell ref="G116:G117"/>
    <mergeCell ref="G118:G121"/>
    <mergeCell ref="G122:G123"/>
    <mergeCell ref="G124:G125"/>
    <mergeCell ref="G126:G127"/>
    <mergeCell ref="G128:G129"/>
    <mergeCell ref="G130:G131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5"/>
    <mergeCell ref="H36:H37"/>
    <mergeCell ref="H38:H43"/>
    <mergeCell ref="H44:H45"/>
    <mergeCell ref="H46:H47"/>
    <mergeCell ref="H48:H49"/>
    <mergeCell ref="H50:H51"/>
    <mergeCell ref="G70:G71"/>
    <mergeCell ref="G72:G73"/>
    <mergeCell ref="G74:G75"/>
    <mergeCell ref="G76:G77"/>
    <mergeCell ref="G78:G79"/>
    <mergeCell ref="G80:G81"/>
    <mergeCell ref="G82:G85"/>
    <mergeCell ref="G86:G87"/>
    <mergeCell ref="G88:G89"/>
    <mergeCell ref="G90:G91"/>
    <mergeCell ref="G92:G93"/>
    <mergeCell ref="G94:G95"/>
    <mergeCell ref="G96:G97"/>
    <mergeCell ref="G98:G101"/>
    <mergeCell ref="G102:G103"/>
    <mergeCell ref="G104:G105"/>
    <mergeCell ref="G106:G107"/>
    <mergeCell ref="F126:F127"/>
    <mergeCell ref="F128:F129"/>
    <mergeCell ref="F130:F131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5"/>
    <mergeCell ref="G36:G37"/>
    <mergeCell ref="G38:G43"/>
    <mergeCell ref="G44:G45"/>
    <mergeCell ref="G46:G47"/>
    <mergeCell ref="G48:G49"/>
    <mergeCell ref="G50:G51"/>
    <mergeCell ref="G52:G53"/>
    <mergeCell ref="G54:G55"/>
    <mergeCell ref="G56:G59"/>
    <mergeCell ref="G60:G61"/>
    <mergeCell ref="G62:G63"/>
    <mergeCell ref="G64:G65"/>
    <mergeCell ref="G66:G67"/>
    <mergeCell ref="G68:G69"/>
    <mergeCell ref="F88:F89"/>
    <mergeCell ref="F90:F91"/>
    <mergeCell ref="F92:F93"/>
    <mergeCell ref="F94:F95"/>
    <mergeCell ref="F96:F97"/>
    <mergeCell ref="F98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21"/>
    <mergeCell ref="F122:F123"/>
    <mergeCell ref="F124:F125"/>
    <mergeCell ref="F50:F51"/>
    <mergeCell ref="F52:F53"/>
    <mergeCell ref="F54:F55"/>
    <mergeCell ref="F56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5"/>
    <mergeCell ref="F86:F87"/>
    <mergeCell ref="E106:E107"/>
    <mergeCell ref="E108:E109"/>
    <mergeCell ref="E110:E111"/>
    <mergeCell ref="E112:E113"/>
    <mergeCell ref="E114:E115"/>
    <mergeCell ref="E116:E117"/>
    <mergeCell ref="E118:E121"/>
    <mergeCell ref="E122:E123"/>
    <mergeCell ref="E124:E125"/>
    <mergeCell ref="E126:E127"/>
    <mergeCell ref="E128:E129"/>
    <mergeCell ref="E130:E13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5"/>
    <mergeCell ref="F36:F37"/>
    <mergeCell ref="F38:F43"/>
    <mergeCell ref="F44:F45"/>
    <mergeCell ref="F46:F47"/>
    <mergeCell ref="F48:F49"/>
    <mergeCell ref="E68:E69"/>
    <mergeCell ref="E70:E71"/>
    <mergeCell ref="E72:E73"/>
    <mergeCell ref="E74:E75"/>
    <mergeCell ref="E76:E77"/>
    <mergeCell ref="E78:E79"/>
    <mergeCell ref="E80:E81"/>
    <mergeCell ref="E82:E85"/>
    <mergeCell ref="E86:E87"/>
    <mergeCell ref="E88:E89"/>
    <mergeCell ref="E90:E91"/>
    <mergeCell ref="E92:E93"/>
    <mergeCell ref="E94:E95"/>
    <mergeCell ref="E96:E97"/>
    <mergeCell ref="E98:E101"/>
    <mergeCell ref="E102:E103"/>
    <mergeCell ref="E104:E105"/>
    <mergeCell ref="D124:D125"/>
    <mergeCell ref="D126:D127"/>
    <mergeCell ref="D128:D129"/>
    <mergeCell ref="D130:D13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5"/>
    <mergeCell ref="E36:E37"/>
    <mergeCell ref="E38:E43"/>
    <mergeCell ref="E44:E45"/>
    <mergeCell ref="E46:E47"/>
    <mergeCell ref="E48:E49"/>
    <mergeCell ref="E50:E51"/>
    <mergeCell ref="E52:E53"/>
    <mergeCell ref="E54:E55"/>
    <mergeCell ref="E56:E59"/>
    <mergeCell ref="E60:E61"/>
    <mergeCell ref="E62:E63"/>
    <mergeCell ref="E64:E65"/>
    <mergeCell ref="E66:E67"/>
    <mergeCell ref="D86:D87"/>
    <mergeCell ref="D88:D89"/>
    <mergeCell ref="D90:D91"/>
    <mergeCell ref="D92:D93"/>
    <mergeCell ref="D94:D95"/>
    <mergeCell ref="D96:D97"/>
    <mergeCell ref="D98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21"/>
    <mergeCell ref="D122:D123"/>
    <mergeCell ref="D48:D49"/>
    <mergeCell ref="D50:D51"/>
    <mergeCell ref="D52:D53"/>
    <mergeCell ref="D54:D55"/>
    <mergeCell ref="D56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5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5"/>
    <mergeCell ref="D36:D37"/>
    <mergeCell ref="D38:D43"/>
    <mergeCell ref="D44:D45"/>
    <mergeCell ref="D46:D47"/>
    <mergeCell ref="B90:B93"/>
    <mergeCell ref="B94:B95"/>
    <mergeCell ref="B96:B97"/>
    <mergeCell ref="B98:B101"/>
    <mergeCell ref="B102:B103"/>
    <mergeCell ref="B104:B107"/>
    <mergeCell ref="B108:B109"/>
    <mergeCell ref="B110:B111"/>
    <mergeCell ref="B112:B113"/>
    <mergeCell ref="B114:B115"/>
    <mergeCell ref="B116:B117"/>
    <mergeCell ref="B118:B121"/>
    <mergeCell ref="B122:B123"/>
    <mergeCell ref="B124:B125"/>
    <mergeCell ref="B126:B127"/>
    <mergeCell ref="B128:B129"/>
    <mergeCell ref="B130:B131"/>
    <mergeCell ref="B38:B43"/>
    <mergeCell ref="B44:B47"/>
    <mergeCell ref="B48:B49"/>
    <mergeCell ref="B50:B51"/>
    <mergeCell ref="B52:B53"/>
    <mergeCell ref="B54:B55"/>
    <mergeCell ref="B56:B59"/>
    <mergeCell ref="B60:B61"/>
    <mergeCell ref="B62:B63"/>
    <mergeCell ref="B64:B65"/>
    <mergeCell ref="B66:B71"/>
    <mergeCell ref="B72:B73"/>
    <mergeCell ref="B74:B75"/>
    <mergeCell ref="B76:B81"/>
    <mergeCell ref="B82:B85"/>
    <mergeCell ref="B86:B87"/>
    <mergeCell ref="B88:B89"/>
    <mergeCell ref="A90:A93"/>
    <mergeCell ref="A94:A95"/>
    <mergeCell ref="A96:A97"/>
    <mergeCell ref="A98:A101"/>
    <mergeCell ref="A102:A103"/>
    <mergeCell ref="A104:A107"/>
    <mergeCell ref="A108:A109"/>
    <mergeCell ref="A110:A111"/>
    <mergeCell ref="A112:A113"/>
    <mergeCell ref="A114:A115"/>
    <mergeCell ref="A116:A117"/>
    <mergeCell ref="A118:A121"/>
    <mergeCell ref="A122:A123"/>
    <mergeCell ref="A124:A125"/>
    <mergeCell ref="A126:A127"/>
    <mergeCell ref="A128:A129"/>
    <mergeCell ref="A130:A131"/>
    <mergeCell ref="A38:A43"/>
    <mergeCell ref="A44:A47"/>
    <mergeCell ref="A48:A49"/>
    <mergeCell ref="A50:A51"/>
    <mergeCell ref="A52:A53"/>
    <mergeCell ref="A54:A55"/>
    <mergeCell ref="A56:A59"/>
    <mergeCell ref="A60:A61"/>
    <mergeCell ref="A62:A63"/>
    <mergeCell ref="A64:A65"/>
    <mergeCell ref="A66:A71"/>
    <mergeCell ref="A72:A73"/>
    <mergeCell ref="A74:A75"/>
    <mergeCell ref="A76:A81"/>
    <mergeCell ref="A82:A85"/>
    <mergeCell ref="A86:A87"/>
    <mergeCell ref="A88:A89"/>
    <mergeCell ref="A1:AD1"/>
    <mergeCell ref="D2:E2"/>
    <mergeCell ref="F2:I2"/>
    <mergeCell ref="M2:N2"/>
    <mergeCell ref="O2:W2"/>
    <mergeCell ref="A2:A3"/>
    <mergeCell ref="A4:A5"/>
    <mergeCell ref="A6:A7"/>
    <mergeCell ref="A8:A9"/>
    <mergeCell ref="A10:A11"/>
    <mergeCell ref="A12:A13"/>
    <mergeCell ref="A14:A19"/>
    <mergeCell ref="A20:A23"/>
    <mergeCell ref="A24:A29"/>
    <mergeCell ref="A30:A31"/>
    <mergeCell ref="A32:A35"/>
    <mergeCell ref="A36:A37"/>
    <mergeCell ref="B2:B3"/>
    <mergeCell ref="B4:B5"/>
    <mergeCell ref="B6:B7"/>
    <mergeCell ref="B8:B9"/>
    <mergeCell ref="B10:B11"/>
    <mergeCell ref="B12:B13"/>
    <mergeCell ref="B14:B19"/>
    <mergeCell ref="B20:B23"/>
    <mergeCell ref="B24:B29"/>
    <mergeCell ref="B30:B31"/>
    <mergeCell ref="B32:B35"/>
    <mergeCell ref="B36:B37"/>
    <mergeCell ref="C2:C3"/>
    <mergeCell ref="D4:D5"/>
    <mergeCell ref="D6:D7"/>
  </mergeCells>
  <phoneticPr fontId="8" type="noConversion"/>
  <pageMargins left="0.75138888888888899" right="0.75138888888888899" top="1" bottom="1" header="0.51180555555555596" footer="0.51180555555555596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2018-05-08T11:14:00Z</dcterms:created>
  <dcterms:modified xsi:type="dcterms:W3CDTF">2025-04-11T00:45:13Z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E342832DEE264A20AC78AC89DEE3A412</vt:lpwstr>
  </property>
</Properties>
</file>