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元吉小区" sheetId="11" r:id="rId1"/>
    <sheet name="取费1" sheetId="3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元吉小区!$B$1:$B$31</definedName>
    <definedName name="_xlnm.Print_Area" localSheetId="0">元吉小区!$A$1:$G$20</definedName>
    <definedName name="_xlnm.Print_Titles" localSheetId="0">元吉小区!$1:$4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<sst xmlns="http://schemas.openxmlformats.org/spreadsheetml/2006/main" count="696" uniqueCount="237">
  <si>
    <t>工程量清单</t>
  </si>
  <si>
    <t>项目名称：马桥镇元吉小区雨污混接改造项目</t>
  </si>
  <si>
    <t>序号</t>
  </si>
  <si>
    <t>工程或费用名称</t>
  </si>
  <si>
    <t>复核估算金额（万元）</t>
  </si>
  <si>
    <t>备注</t>
  </si>
  <si>
    <t>单位</t>
  </si>
  <si>
    <t>数量</t>
  </si>
  <si>
    <t>单位价值（元）</t>
  </si>
  <si>
    <t>合计（万元）</t>
  </si>
  <si>
    <t>一</t>
  </si>
  <si>
    <t>工程费用</t>
  </si>
  <si>
    <t>1</t>
  </si>
  <si>
    <t>小区污水系统</t>
  </si>
  <si>
    <t>私接管改造 DN100 埋深1m</t>
  </si>
  <si>
    <t>m</t>
  </si>
  <si>
    <t>PVC-U</t>
  </si>
  <si>
    <t>新建塑料污水检查井 Ø315×700</t>
  </si>
  <si>
    <t>座</t>
  </si>
  <si>
    <t>D315型塑料检查井，用于DN200及以下管道</t>
  </si>
  <si>
    <t>污水管翻排 DN315 埋深1.5m-2.0m</t>
  </si>
  <si>
    <t>高密度聚乙烯双壁缠绕管(HDPE)</t>
  </si>
  <si>
    <t>2</t>
  </si>
  <si>
    <t>小区雨水系统</t>
  </si>
  <si>
    <t>雨水管翻排 DN300 埋深1.5m-2.0m</t>
  </si>
  <si>
    <t>雨水管翻排 DN400 埋深1.5m-2.0m</t>
  </si>
  <si>
    <t>雨水管翻排 DN600 埋深2.0m-2.5m</t>
  </si>
  <si>
    <t>45度弯头 DN75 不锈钢</t>
  </si>
  <si>
    <t>套</t>
  </si>
  <si>
    <t>45度弯头 矩形75×50 不锈钢</t>
  </si>
  <si>
    <t>3</t>
  </si>
  <si>
    <t>小区其他</t>
  </si>
  <si>
    <t>小区路面破除及恢复 沥青</t>
  </si>
  <si>
    <r>
      <rPr>
        <sz val="11"/>
        <rFont val="宋体"/>
        <charset val="134"/>
        <scheme val="minor"/>
      </rPr>
      <t>m</t>
    </r>
    <r>
      <rPr>
        <vertAlign val="superscript"/>
        <sz val="11"/>
        <rFont val="宋体"/>
        <charset val="134"/>
        <scheme val="minor"/>
      </rPr>
      <t>2</t>
    </r>
  </si>
  <si>
    <t>绿化破除及恢复</t>
  </si>
  <si>
    <t>管道清洗</t>
  </si>
  <si>
    <t>(6+(14-6)/(10000-3000)*(3514.3-3000))*1.2</t>
  </si>
  <si>
    <t>设计收费计算表</t>
  </si>
  <si>
    <t>勘测收费计算表</t>
  </si>
  <si>
    <t>监理费计算表(内插法)</t>
  </si>
  <si>
    <r>
      <rPr>
        <b/>
        <sz val="10"/>
        <rFont val="宋体"/>
        <charset val="134"/>
      </rPr>
      <t>项目建议书编制费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</si>
  <si>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方案一设计、勘察招标代理费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</si>
  <si>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方案</t>
    </r>
    <r>
      <rPr>
        <b/>
        <sz val="10"/>
        <rFont val="宋体"/>
        <charset val="134"/>
      </rPr>
      <t>二</t>
    </r>
    <r>
      <rPr>
        <b/>
        <sz val="10"/>
        <rFont val="宋体"/>
        <charset val="134"/>
      </rPr>
      <t>监理、施工招标代理费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</si>
  <si>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方案一招标代理费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</si>
  <si>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贷款利息</t>
  </si>
  <si>
    <t>建设单位管理费（浦东新区）</t>
  </si>
  <si>
    <t>上海市建设工程施工图设计文件审查收费计算表</t>
  </si>
  <si>
    <t>大圈围6m蓄水位方案</t>
  </si>
  <si>
    <r>
      <rPr>
        <sz val="10"/>
        <rFont val="宋体"/>
        <charset val="134"/>
      </rPr>
      <t>大圈围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m蓄水位方案</t>
    </r>
  </si>
  <si>
    <r>
      <rPr>
        <sz val="10"/>
        <rFont val="宋体"/>
        <charset val="134"/>
      </rPr>
      <t>小圈围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m蓄水位方案</t>
    </r>
  </si>
  <si>
    <r>
      <rPr>
        <b/>
        <sz val="10"/>
        <color indexed="10"/>
        <rFont val="宋体"/>
        <charset val="134"/>
      </rPr>
      <t>国家计委关于印发建设项目前期工作咨询收费暂行规定的通知</t>
    </r>
    <r>
      <rPr>
        <b/>
        <sz val="10"/>
        <color indexed="10"/>
        <rFont val="宋体"/>
        <charset val="134"/>
      </rPr>
      <t xml:space="preserve">    计价格</t>
    </r>
    <r>
      <rPr>
        <b/>
        <sz val="10"/>
        <color indexed="10"/>
        <rFont val="Times New Roman"/>
        <charset val="134"/>
      </rPr>
      <t>[1999]1283</t>
    </r>
    <r>
      <rPr>
        <b/>
        <sz val="10"/>
        <color indexed="10"/>
        <rFont val="宋体"/>
        <charset val="134"/>
      </rPr>
      <t>号</t>
    </r>
  </si>
  <si>
    <r>
      <rPr>
        <b/>
        <sz val="10"/>
        <color indexed="10"/>
        <rFont val="宋体"/>
        <charset val="134"/>
      </rPr>
      <t>国家计委关于印发《招标代理服务收费管理暂行办法》的通知</t>
    </r>
    <r>
      <rPr>
        <b/>
        <sz val="10"/>
        <color indexed="10"/>
        <rFont val="宋体"/>
        <charset val="134"/>
      </rPr>
      <t xml:space="preserve">    计价格</t>
    </r>
    <r>
      <rPr>
        <b/>
        <sz val="10"/>
        <color indexed="10"/>
        <rFont val="Times New Roman"/>
        <charset val="134"/>
      </rPr>
      <t>[2002]2503</t>
    </r>
    <r>
      <rPr>
        <b/>
        <sz val="10"/>
        <color indexed="10"/>
        <rFont val="宋体"/>
        <charset val="134"/>
      </rPr>
      <t>号</t>
    </r>
  </si>
  <si>
    <r>
      <rPr>
        <sz val="10"/>
        <rFont val="宋体"/>
        <charset val="134"/>
      </rPr>
      <t>计费额</t>
    </r>
    <r>
      <rPr>
        <sz val="10"/>
        <rFont val="宋体"/>
        <charset val="134"/>
      </rPr>
      <t xml:space="preserve">       （建安工程）</t>
    </r>
  </si>
  <si>
    <t>计费费率（％）</t>
  </si>
  <si>
    <r>
      <rPr>
        <sz val="10"/>
        <rFont val="宋体"/>
        <charset val="134"/>
      </rPr>
      <t>内插计费</t>
    </r>
    <r>
      <rPr>
        <sz val="10"/>
        <rFont val="宋体"/>
        <charset val="134"/>
      </rPr>
      <t xml:space="preserve">     （建安工程）</t>
    </r>
  </si>
  <si>
    <t>内插费率（％）</t>
  </si>
  <si>
    <t>上海市物价局、市建交委（沪价费[2011]002号文）</t>
  </si>
  <si>
    <t>工程费用(A)：</t>
  </si>
  <si>
    <t>土方</t>
  </si>
  <si>
    <t>护岸结构</t>
  </si>
  <si>
    <t>泵闸桥梁</t>
  </si>
  <si>
    <t>景观绿化</t>
  </si>
  <si>
    <t>吹砂</t>
  </si>
  <si>
    <t>结构</t>
  </si>
  <si>
    <t>工程费用(万元)：</t>
  </si>
  <si>
    <r>
      <rPr>
        <b/>
        <sz val="10"/>
        <rFont val="宋体"/>
        <charset val="134"/>
      </rPr>
      <t>估算投资额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：</t>
    </r>
  </si>
  <si>
    <t>中标金额(万元)</t>
  </si>
  <si>
    <t>招标代理费率</t>
  </si>
  <si>
    <t>招标代理费</t>
  </si>
  <si>
    <t>估算投资(万元)</t>
  </si>
  <si>
    <t>工程费用(万元)</t>
  </si>
  <si>
    <t>施工年度</t>
  </si>
  <si>
    <t>第一年</t>
  </si>
  <si>
    <t>第二年</t>
  </si>
  <si>
    <t>第三年</t>
  </si>
  <si>
    <t>第四年</t>
  </si>
  <si>
    <t>第五年</t>
  </si>
  <si>
    <t>合计</t>
  </si>
  <si>
    <t>***</t>
  </si>
  <si>
    <t>堪测费(b×c×d×e)</t>
  </si>
  <si>
    <t>中标金额A(万元)</t>
  </si>
  <si>
    <t>监理费率  b</t>
  </si>
  <si>
    <t>实际监理
费率  b</t>
  </si>
  <si>
    <t>监理费
(万元)</t>
  </si>
  <si>
    <r>
      <rPr>
        <sz val="10"/>
        <rFont val="宋体"/>
        <charset val="134"/>
      </rPr>
      <t>估算投资额</t>
    </r>
    <r>
      <rPr>
        <sz val="10"/>
        <rFont val="Times New Roman"/>
        <charset val="134"/>
      </rPr>
      <t>A(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</si>
  <si>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项建书编制费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</si>
  <si>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项目建议书编制费收费标准</t>
  </si>
  <si>
    <t>分年投资</t>
  </si>
  <si>
    <t>审查费(b×c×d×e)</t>
  </si>
  <si>
    <t>设计费(b×c×d×e)</t>
  </si>
  <si>
    <t>计费额A(万元)
小值 ＜A≤ 大值</t>
  </si>
  <si>
    <t>收费基价b(万元)
小值 ＜b≤ 大值</t>
  </si>
  <si>
    <t>实际收费基价(b)</t>
  </si>
  <si>
    <t>小值≤ A ＜大值</t>
  </si>
  <si>
    <t>大值≥  b  ＞小值</t>
  </si>
  <si>
    <r>
      <rPr>
        <sz val="10"/>
        <rFont val="宋体"/>
        <charset val="134"/>
      </rPr>
      <t>小值≤</t>
    </r>
    <r>
      <rPr>
        <sz val="10"/>
        <rFont val="Times New Roman"/>
        <charset val="134"/>
      </rPr>
      <t xml:space="preserve"> A </t>
    </r>
    <r>
      <rPr>
        <sz val="10"/>
        <rFont val="宋体"/>
        <charset val="134"/>
      </rPr>
      <t>≤大值</t>
    </r>
  </si>
  <si>
    <r>
      <rPr>
        <sz val="10"/>
        <rFont val="宋体"/>
        <charset val="134"/>
      </rPr>
      <t>小值≤</t>
    </r>
    <r>
      <rPr>
        <sz val="10"/>
        <rFont val="Times New Roman"/>
        <charset val="134"/>
      </rPr>
      <t xml:space="preserve"> b </t>
    </r>
    <r>
      <rPr>
        <sz val="10"/>
        <rFont val="宋体"/>
        <charset val="134"/>
      </rPr>
      <t>≤大值</t>
    </r>
  </si>
  <si>
    <t>还息投资比例</t>
  </si>
  <si>
    <r>
      <rPr>
        <sz val="12"/>
        <color theme="1"/>
        <rFont val="宋体"/>
        <charset val="134"/>
      </rPr>
      <t>计费额</t>
    </r>
    <r>
      <rPr>
        <sz val="12"/>
        <color theme="1"/>
        <rFont val="宋体"/>
        <charset val="134"/>
      </rPr>
      <t>A(万元)
小值 ＜A≤ 大值</t>
    </r>
  </si>
  <si>
    <r>
      <rPr>
        <sz val="12"/>
        <color theme="1"/>
        <rFont val="宋体"/>
        <charset val="134"/>
      </rPr>
      <t>收费基价</t>
    </r>
    <r>
      <rPr>
        <sz val="12"/>
        <color theme="1"/>
        <rFont val="宋体"/>
        <charset val="134"/>
      </rPr>
      <t>b(万元)
小值 ＜b≤ 大值</t>
    </r>
  </si>
  <si>
    <r>
      <rPr>
        <sz val="12"/>
        <color theme="1"/>
        <rFont val="宋体"/>
        <charset val="134"/>
      </rPr>
      <t>实际收费基价</t>
    </r>
    <r>
      <rPr>
        <sz val="12"/>
        <color theme="1"/>
        <rFont val="宋体"/>
        <charset val="134"/>
      </rPr>
      <t>(b)</t>
    </r>
  </si>
  <si>
    <t>………</t>
  </si>
  <si>
    <t>年贷款利率(5年以上)</t>
  </si>
  <si>
    <t>建设还贷利息:</t>
  </si>
  <si>
    <t>第一年还贷利息:</t>
  </si>
  <si>
    <t>=1/2*CC4*CC5*CH6</t>
  </si>
  <si>
    <t>=1/2*CJ4*CJ5*CO6</t>
  </si>
  <si>
    <r>
      <rPr>
        <sz val="10"/>
        <rFont val="宋体"/>
        <charset val="134"/>
      </rPr>
      <t>注：有三种计算办法：浦东、上海市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％、财政部</t>
    </r>
  </si>
  <si>
    <t>第二年还贷利息:</t>
  </si>
  <si>
    <t>=(CC4*CC5+1/2*CD4*CD5+CH8)*CH6</t>
  </si>
  <si>
    <t>=(CJ4*CJ5+1/2*CK4*CK5+CO8)*CO6</t>
  </si>
  <si>
    <t>二</t>
  </si>
  <si>
    <t>施工监理费（沪建监协字（2001）第20号</t>
  </si>
  <si>
    <t>＞</t>
  </si>
  <si>
    <t>第三年还贷利息:</t>
  </si>
  <si>
    <t>=CC4*CC5+CD4*CD5+1/2*CE4*CE5+CH8+CH9</t>
  </si>
  <si>
    <t>=(CJ4*CJ5+CK4*CK5+1/2*CL4*CL5+CO8+CO9)*CO6</t>
  </si>
  <si>
    <r>
      <rPr>
        <sz val="10"/>
        <rFont val="宋体"/>
        <charset val="134"/>
      </rPr>
      <t>工程造价</t>
    </r>
    <r>
      <rPr>
        <sz val="10"/>
        <rFont val="Times New Roman"/>
        <charset val="134"/>
      </rPr>
      <t xml:space="preserve">      </t>
    </r>
  </si>
  <si>
    <r>
      <rPr>
        <sz val="10"/>
        <rFont val="宋体"/>
        <charset val="134"/>
      </rPr>
      <t>内插造价</t>
    </r>
    <r>
      <rPr>
        <sz val="10"/>
        <rFont val="宋体"/>
        <charset val="134"/>
      </rPr>
      <t xml:space="preserve">     （建安工程）</t>
    </r>
  </si>
  <si>
    <t>合计：</t>
  </si>
  <si>
    <t>第四年还贷利息:</t>
  </si>
  <si>
    <t>=(CC4*CC5+CD4*CD5+CE4*CE5+1/2*CF4*CF5+CH8+CH9+CH10)*CH6</t>
  </si>
  <si>
    <t>=(CJ4*CJ5+CK4*CK5+CL4*CL5+1/2*CM4*CM5+CO8+CO9+CO10)*CO6</t>
  </si>
  <si>
    <t>第五年还贷利息:</t>
  </si>
  <si>
    <r>
      <rPr>
        <b/>
        <sz val="10"/>
        <rFont val="宋体"/>
        <charset val="134"/>
      </rPr>
      <t>上海市设计勘察招标代理费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</si>
  <si>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行业调整系数</t>
  </si>
  <si>
    <r>
      <rPr>
        <b/>
        <sz val="10"/>
        <color indexed="10"/>
        <rFont val="宋体"/>
        <charset val="134"/>
      </rPr>
      <t>市建设交通委、市物价局关于发布《上海市建设工程造价服务和工程招标代理服务收费标准》的通知</t>
    </r>
    <r>
      <rPr>
        <b/>
        <sz val="10"/>
        <color indexed="10"/>
        <rFont val="宋体"/>
        <charset val="134"/>
      </rPr>
      <t xml:space="preserve">     沪建计联</t>
    </r>
    <r>
      <rPr>
        <b/>
        <sz val="10"/>
        <color indexed="10"/>
        <rFont val="Times New Roman"/>
        <charset val="134"/>
      </rPr>
      <t>[2005]834</t>
    </r>
    <r>
      <rPr>
        <b/>
        <sz val="10"/>
        <color indexed="10"/>
        <rFont val="宋体"/>
        <charset val="134"/>
      </rPr>
      <t>号；沪价费</t>
    </r>
    <r>
      <rPr>
        <b/>
        <sz val="10"/>
        <color indexed="10"/>
        <rFont val="Times New Roman"/>
        <charset val="134"/>
      </rPr>
      <t>[2005]056</t>
    </r>
    <r>
      <rPr>
        <b/>
        <sz val="10"/>
        <color indexed="10"/>
        <rFont val="宋体"/>
        <charset val="134"/>
      </rPr>
      <t>号</t>
    </r>
  </si>
  <si>
    <t>工程复杂程度调整系数</t>
  </si>
  <si>
    <t>项目建议书编制费(b)</t>
  </si>
  <si>
    <t>……</t>
  </si>
  <si>
    <t>…….</t>
  </si>
  <si>
    <r>
      <rPr>
        <b/>
        <sz val="10"/>
        <rFont val="宋体"/>
        <charset val="134"/>
      </rPr>
      <t>项目建议书评估费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</si>
  <si>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t>编制环境影响报告书（含大纲）</t>
  </si>
  <si>
    <t xml:space="preserve">                    监理费：</t>
  </si>
  <si>
    <r>
      <rPr>
        <b/>
        <sz val="10"/>
        <color indexed="10"/>
        <rFont val="宋体"/>
        <charset val="134"/>
      </rPr>
      <t>计价格</t>
    </r>
    <r>
      <rPr>
        <b/>
        <sz val="10"/>
        <color indexed="10"/>
        <rFont val="Times New Roman"/>
        <charset val="134"/>
      </rPr>
      <t>[2002]125</t>
    </r>
    <r>
      <rPr>
        <b/>
        <sz val="10"/>
        <color indexed="10"/>
        <rFont val="仿宋_GB2312"/>
        <charset val="134"/>
      </rPr>
      <t>号</t>
    </r>
  </si>
  <si>
    <r>
      <rPr>
        <sz val="10"/>
        <rFont val="宋体"/>
        <charset val="134"/>
      </rPr>
      <t>项建书评估费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</si>
  <si>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项目建议书评估费收费标准</t>
  </si>
  <si>
    <t>环评费(b×c×d×e)</t>
  </si>
  <si>
    <t>发改委《建设工程监理与相关服务收费标准》（发改价格[2007]670号）</t>
  </si>
  <si>
    <r>
      <rPr>
        <b/>
        <sz val="10"/>
        <rFont val="宋体"/>
        <charset val="134"/>
      </rPr>
      <t>上海市监理、施工招标代理费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</si>
  <si>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三</t>
  </si>
  <si>
    <t>生产准备费</t>
  </si>
  <si>
    <t>设计人数</t>
  </si>
  <si>
    <t>费用（万元）</t>
  </si>
  <si>
    <t>监理费(b×c×d×e)</t>
  </si>
  <si>
    <t>建安工程造价(万元)</t>
  </si>
  <si>
    <t>生产职工培训费</t>
  </si>
  <si>
    <t>办公和生活家具购置费</t>
  </si>
  <si>
    <t>专业调整系数(c)</t>
  </si>
  <si>
    <t>复杂程度调整系数(d)</t>
  </si>
  <si>
    <t>四</t>
  </si>
  <si>
    <t>联合试运转费</t>
  </si>
  <si>
    <t>设备费</t>
  </si>
  <si>
    <t>附加调整系数(e)</t>
  </si>
  <si>
    <t>…</t>
  </si>
  <si>
    <t>设计阶段比例</t>
  </si>
  <si>
    <t>五</t>
  </si>
  <si>
    <t>项目建议书</t>
  </si>
  <si>
    <r>
      <rPr>
        <sz val="10"/>
        <rFont val="宋体"/>
        <charset val="134"/>
      </rPr>
      <t>（计委计价格</t>
    </r>
    <r>
      <rPr>
        <sz val="10"/>
        <rFont val="Times New Roman"/>
        <charset val="134"/>
      </rPr>
      <t>[1999]1283</t>
    </r>
    <r>
      <rPr>
        <sz val="10"/>
        <rFont val="宋体"/>
        <charset val="134"/>
      </rPr>
      <t>号文）</t>
    </r>
  </si>
  <si>
    <t>设计费下浮</t>
  </si>
  <si>
    <t>编制项目建议书</t>
  </si>
  <si>
    <t>财务监理费</t>
  </si>
  <si>
    <r>
      <rPr>
        <b/>
        <sz val="10"/>
        <rFont val="宋体"/>
        <charset val="134"/>
      </rPr>
      <t>上海市施工阶段全过程造价控制费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</si>
  <si>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敏感系数</t>
  </si>
  <si>
    <r>
      <rPr>
        <sz val="10"/>
        <rFont val="宋体"/>
        <charset val="134"/>
      </rPr>
      <t>工程造价</t>
    </r>
    <r>
      <rPr>
        <sz val="10"/>
        <rFont val="宋体"/>
        <charset val="134"/>
      </rPr>
      <t xml:space="preserve">        （全部）    </t>
    </r>
  </si>
  <si>
    <t>计费收费（万元）</t>
  </si>
  <si>
    <t>内插收费（万元）</t>
  </si>
  <si>
    <t>沪发改投〔2016〕70号文计算</t>
  </si>
  <si>
    <t>专题研究一</t>
  </si>
  <si>
    <t>(1)</t>
  </si>
  <si>
    <t>&lt;3000</t>
  </si>
  <si>
    <t>项目建议书评估费(b)</t>
  </si>
  <si>
    <t>工程总概算</t>
  </si>
  <si>
    <t>专题研究二</t>
  </si>
  <si>
    <t>(2)</t>
  </si>
  <si>
    <t>建设单位管理费</t>
  </si>
  <si>
    <t>(3)</t>
  </si>
  <si>
    <t>总投资</t>
  </si>
  <si>
    <r>
      <rPr>
        <b/>
        <sz val="10"/>
        <rFont val="宋体"/>
        <charset val="134"/>
      </rPr>
      <t>可研报告编制费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</si>
  <si>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t>(4)</t>
  </si>
  <si>
    <t>扣除建设用地投资</t>
  </si>
  <si>
    <t>(5)</t>
  </si>
  <si>
    <t>编制环境影响报告表</t>
  </si>
  <si>
    <t>(6)</t>
  </si>
  <si>
    <r>
      <rPr>
        <sz val="10"/>
        <rFont val="宋体"/>
        <charset val="134"/>
      </rPr>
      <t>可研编制费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</si>
  <si>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可研报告编制费收费标准</t>
  </si>
  <si>
    <t>(7)</t>
  </si>
  <si>
    <t>&gt;500000</t>
  </si>
  <si>
    <t>100-125</t>
  </si>
  <si>
    <t>评估项目建议书</t>
  </si>
  <si>
    <t>财建（2016）504号文</t>
  </si>
  <si>
    <t>建设单位管理费（最新收费标准）</t>
  </si>
  <si>
    <t>高程调整系数(e)</t>
  </si>
  <si>
    <t>可研编制费收费标准</t>
  </si>
  <si>
    <t>17-20</t>
  </si>
  <si>
    <t>六</t>
  </si>
  <si>
    <t>可行性研究</t>
  </si>
  <si>
    <t>可研报告编制费(b)</t>
  </si>
  <si>
    <t>编制可行性研究</t>
  </si>
  <si>
    <r>
      <rPr>
        <b/>
        <sz val="10"/>
        <rFont val="宋体"/>
        <charset val="134"/>
      </rPr>
      <t>可研报告评估费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</si>
  <si>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r>
      <rPr>
        <sz val="10"/>
        <rFont val="宋体"/>
        <charset val="134"/>
      </rPr>
      <t>可研评估费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</si>
  <si>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可研报告评估费收费标准</t>
  </si>
  <si>
    <t>评估环境影响报告书（含大纲）</t>
  </si>
  <si>
    <t>施工图审查费</t>
  </si>
  <si>
    <t>200-250</t>
  </si>
  <si>
    <t>评估可行性研究</t>
  </si>
  <si>
    <t>收费</t>
  </si>
  <si>
    <t>25-35</t>
  </si>
  <si>
    <t>可研报告评估费(b)</t>
  </si>
  <si>
    <t>编制项目建议书费计算表</t>
  </si>
  <si>
    <t>国家计委关于印发建设项目前期工作咨询收费暂行规定的通知    计价格[1999]1283号</t>
  </si>
  <si>
    <t>评估环境影响报告表</t>
  </si>
  <si>
    <r>
      <rPr>
        <b/>
        <sz val="10"/>
        <rFont val="宋体"/>
        <charset val="134"/>
      </rPr>
      <t>工程概算</t>
    </r>
    <r>
      <rPr>
        <b/>
        <sz val="10"/>
        <rFont val="Times New Roman"/>
        <charset val="134"/>
      </rPr>
      <t>A)</t>
    </r>
    <r>
      <rPr>
        <b/>
        <sz val="10"/>
        <rFont val="宋体"/>
        <charset val="134"/>
      </rPr>
      <t>：</t>
    </r>
  </si>
  <si>
    <r>
      <rPr>
        <b/>
        <sz val="10"/>
        <rFont val="宋体"/>
        <charset val="134"/>
      </rPr>
      <t>编制项目建议书费</t>
    </r>
    <r>
      <rPr>
        <b/>
        <sz val="10"/>
        <rFont val="Times New Roman"/>
        <charset val="134"/>
      </rPr>
      <t>(b×c×d×e)</t>
    </r>
  </si>
  <si>
    <r>
      <rPr>
        <sz val="10"/>
        <rFont val="宋体"/>
        <charset val="134"/>
      </rPr>
      <t>计费额</t>
    </r>
    <r>
      <rPr>
        <sz val="10"/>
        <rFont val="Times New Roman"/>
        <charset val="134"/>
      </rPr>
      <t>A(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 xml:space="preserve">)
</t>
    </r>
    <r>
      <rPr>
        <sz val="10"/>
        <rFont val="宋体"/>
        <charset val="134"/>
      </rPr>
      <t>小值</t>
    </r>
    <r>
      <rPr>
        <sz val="10"/>
        <rFont val="宋体"/>
        <charset val="134"/>
      </rPr>
      <t xml:space="preserve"> ＜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≤</t>
    </r>
    <r>
      <rPr>
        <sz val="10"/>
        <rFont val="宋体"/>
        <charset val="134"/>
      </rPr>
      <t xml:space="preserve"> 大值</t>
    </r>
  </si>
  <si>
    <r>
      <rPr>
        <sz val="10"/>
        <rFont val="宋体"/>
        <charset val="134"/>
      </rPr>
      <t>收费基价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 xml:space="preserve">)
</t>
    </r>
    <r>
      <rPr>
        <sz val="10"/>
        <rFont val="宋体"/>
        <charset val="134"/>
      </rPr>
      <t>小值</t>
    </r>
    <r>
      <rPr>
        <sz val="10"/>
        <rFont val="宋体"/>
        <charset val="134"/>
      </rPr>
      <t xml:space="preserve"> ＜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≤</t>
    </r>
    <r>
      <rPr>
        <sz val="10"/>
        <rFont val="宋体"/>
        <charset val="134"/>
      </rPr>
      <t xml:space="preserve"> 大值</t>
    </r>
  </si>
  <si>
    <r>
      <rPr>
        <sz val="10"/>
        <rFont val="宋体"/>
        <charset val="134"/>
      </rPr>
      <t>实际收费基价</t>
    </r>
    <r>
      <rPr>
        <sz val="10"/>
        <rFont val="Times New Roman"/>
        <charset val="134"/>
      </rPr>
      <t>(b)</t>
    </r>
  </si>
  <si>
    <t>上海市工程量清单编制费(差额定率累进法)</t>
  </si>
  <si>
    <r>
      <rPr>
        <b/>
        <sz val="10"/>
        <rFont val="宋体"/>
        <charset val="134"/>
      </rPr>
      <t>实际收费基价</t>
    </r>
    <r>
      <rPr>
        <b/>
        <sz val="10"/>
        <rFont val="Times New Roman"/>
        <charset val="134"/>
      </rPr>
      <t>(b)</t>
    </r>
  </si>
  <si>
    <r>
      <rPr>
        <b/>
        <sz val="10"/>
        <color indexed="19"/>
        <rFont val="宋体"/>
        <charset val="134"/>
      </rPr>
      <t>行业调整系数</t>
    </r>
    <r>
      <rPr>
        <b/>
        <sz val="10"/>
        <color indexed="19"/>
        <rFont val="Times New Roman"/>
        <charset val="134"/>
      </rPr>
      <t>(c)</t>
    </r>
  </si>
  <si>
    <r>
      <rPr>
        <b/>
        <sz val="10"/>
        <color indexed="19"/>
        <rFont val="宋体"/>
        <charset val="134"/>
      </rPr>
      <t>复杂程度调整系数</t>
    </r>
    <r>
      <rPr>
        <b/>
        <sz val="10"/>
        <color indexed="19"/>
        <rFont val="Times New Roman"/>
        <charset val="134"/>
      </rPr>
      <t>(d)</t>
    </r>
  </si>
  <si>
    <t>编制可行性研究费计算表</t>
  </si>
  <si>
    <r>
      <rPr>
        <b/>
        <sz val="10"/>
        <rFont val="宋体"/>
        <charset val="134"/>
      </rPr>
      <t>编制可行性研究费</t>
    </r>
    <r>
      <rPr>
        <b/>
        <sz val="10"/>
        <rFont val="Times New Roman"/>
        <charset val="134"/>
      </rPr>
      <t>(b×c×d×e)</t>
    </r>
  </si>
  <si>
    <r>
      <rPr>
        <b/>
        <sz val="10"/>
        <rFont val="宋体"/>
        <charset val="134"/>
      </rPr>
      <t>初步设计评审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)(</t>
    </r>
    <r>
      <rPr>
        <b/>
        <sz val="10"/>
        <rFont val="宋体"/>
        <charset val="134"/>
      </rPr>
      <t>上海</t>
    </r>
    <r>
      <rPr>
        <b/>
        <sz val="10"/>
        <rFont val="Times New Roman"/>
        <charset val="134"/>
      </rPr>
      <t>)</t>
    </r>
  </si>
  <si>
    <t>(上海标准)</t>
  </si>
  <si>
    <r>
      <rPr>
        <sz val="10"/>
        <rFont val="宋体"/>
        <charset val="134"/>
      </rPr>
      <t>中标金额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</si>
  <si>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总投资</t>
    </r>
    <r>
      <rPr>
        <sz val="10"/>
        <rFont val="宋体"/>
        <charset val="134"/>
      </rPr>
      <t>(</t>
    </r>
    <r>
      <rPr>
        <sz val="10"/>
        <rFont val="宋体"/>
        <charset val="134"/>
      </rPr>
      <t>万元</t>
    </r>
    <r>
      <rPr>
        <sz val="10"/>
        <rFont val="宋体"/>
        <charset val="134"/>
      </rPr>
      <t>)</t>
    </r>
  </si>
  <si>
    <t>100以下</t>
  </si>
  <si>
    <t>100-500</t>
  </si>
  <si>
    <t>500-1000</t>
  </si>
  <si>
    <t>1000-3000</t>
  </si>
  <si>
    <t>3000-5000</t>
  </si>
  <si>
    <t>评估项目建议书计算表</t>
  </si>
  <si>
    <t>5000-10000</t>
  </si>
  <si>
    <r>
      <rPr>
        <b/>
        <sz val="10"/>
        <rFont val="宋体"/>
        <charset val="134"/>
      </rPr>
      <t>评估项目建议书费</t>
    </r>
    <r>
      <rPr>
        <b/>
        <sz val="10"/>
        <rFont val="Times New Roman"/>
        <charset val="134"/>
      </rPr>
      <t>(b×c×d×e)</t>
    </r>
  </si>
  <si>
    <t>评估可行性研究计算表</t>
  </si>
  <si>
    <r>
      <rPr>
        <b/>
        <sz val="10"/>
        <rFont val="宋体"/>
        <charset val="134"/>
      </rPr>
      <t>评估可行性研究费</t>
    </r>
    <r>
      <rPr>
        <b/>
        <sz val="10"/>
        <rFont val="Times New Roman"/>
        <charset val="134"/>
      </rPr>
      <t>(b×c×d×e)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</si>
</sst>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  <numFmt numFmtId="178" formatCode="0.0_ "/>
    <numFmt numFmtId="179" formatCode="0.00_);[Red]\(0.00\)"/>
    <numFmt numFmtId="180" formatCode="0.00_);\(0.00\)"/>
  </numFmts>
  <fonts count="76">
    <font>
      <sz val="12"/>
      <color theme="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b/>
      <sz val="10"/>
      <color rgb="FF993300"/>
      <name val="宋体"/>
      <charset val="134"/>
    </font>
    <font>
      <sz val="10"/>
      <color rgb="FF808000"/>
      <name val="宋体"/>
      <charset val="134"/>
    </font>
    <font>
      <b/>
      <sz val="10"/>
      <color rgb="FF808000"/>
      <name val="宋体"/>
      <charset val="134"/>
    </font>
    <font>
      <b/>
      <sz val="10"/>
      <color theme="0" tint="-0.4999237037263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808000"/>
      <name val="宋体"/>
      <charset val="134"/>
    </font>
    <font>
      <sz val="12"/>
      <color rgb="FF808000"/>
      <name val="宋体"/>
      <charset val="134"/>
    </font>
    <font>
      <b/>
      <sz val="12"/>
      <color rgb="FFFF0000"/>
      <name val="宋体"/>
      <charset val="134"/>
    </font>
    <font>
      <b/>
      <sz val="14"/>
      <color rgb="FF993300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sz val="11"/>
      <color rgb="FFFFFFFF"/>
      <name val="宋体"/>
      <charset val="134"/>
    </font>
    <font>
      <sz val="9"/>
      <color rgb="FF000000"/>
      <name val="宋体"/>
      <charset val="134"/>
    </font>
    <font>
      <b/>
      <sz val="15"/>
      <color rgb="FF003366"/>
      <name val="宋体"/>
      <charset val="134"/>
    </font>
    <font>
      <b/>
      <sz val="13"/>
      <color rgb="FF003366"/>
      <name val="宋体"/>
      <charset val="134"/>
    </font>
    <font>
      <b/>
      <sz val="11"/>
      <color rgb="FF003366"/>
      <name val="宋体"/>
      <charset val="134"/>
    </font>
    <font>
      <b/>
      <sz val="18"/>
      <color rgb="FF003366"/>
      <name val="宋体"/>
      <charset val="134"/>
    </font>
    <font>
      <b/>
      <sz val="11"/>
      <name val="宋体"/>
      <charset val="134"/>
    </font>
    <font>
      <sz val="11"/>
      <color rgb="FF800080"/>
      <name val="宋体"/>
      <charset val="134"/>
    </font>
    <font>
      <sz val="11"/>
      <color rgb="FF800000"/>
      <name val="宋体"/>
      <charset val="134"/>
    </font>
    <font>
      <sz val="12"/>
      <color rgb="FF000000"/>
      <name val="宋体"/>
      <charset val="134"/>
    </font>
    <font>
      <sz val="11"/>
      <color rgb="FF008000"/>
      <name val="宋体"/>
      <charset val="134"/>
    </font>
    <font>
      <b/>
      <sz val="11"/>
      <color rgb="FF000000"/>
      <name val="宋体"/>
      <charset val="134"/>
    </font>
    <font>
      <b/>
      <sz val="11"/>
      <color rgb="FFFF9900"/>
      <name val="宋体"/>
      <charset val="134"/>
    </font>
    <font>
      <b/>
      <sz val="11"/>
      <color rgb="FFFFFFFF"/>
      <name val="宋体"/>
      <charset val="134"/>
    </font>
    <font>
      <i/>
      <sz val="11"/>
      <color rgb="FF808080"/>
      <name val="宋体"/>
      <charset val="134"/>
    </font>
    <font>
      <sz val="11"/>
      <color rgb="FFFF0000"/>
      <name val="宋体"/>
      <charset val="134"/>
    </font>
    <font>
      <sz val="11"/>
      <color rgb="FFFF9900"/>
      <name val="宋体"/>
      <charset val="134"/>
    </font>
    <font>
      <sz val="10"/>
      <name val="Arial"/>
      <charset val="134"/>
    </font>
    <font>
      <sz val="11"/>
      <color rgb="FF993300"/>
      <name val="宋体"/>
      <charset val="134"/>
    </font>
    <font>
      <b/>
      <sz val="11"/>
      <color rgb="FF333333"/>
      <name val="宋体"/>
      <charset val="134"/>
    </font>
    <font>
      <sz val="11"/>
      <color rgb="FF333399"/>
      <name val="宋体"/>
      <charset val="134"/>
    </font>
    <font>
      <b/>
      <sz val="10"/>
      <name val="Times New Roman"/>
      <charset val="134"/>
    </font>
    <font>
      <vertAlign val="superscript"/>
      <sz val="11"/>
      <name val="宋体"/>
      <charset val="134"/>
      <scheme val="minor"/>
    </font>
    <font>
      <b/>
      <sz val="10"/>
      <color indexed="10"/>
      <name val="宋体"/>
      <charset val="134"/>
    </font>
    <font>
      <b/>
      <sz val="10"/>
      <color indexed="10"/>
      <name val="Times New Roman"/>
      <charset val="134"/>
    </font>
    <font>
      <b/>
      <sz val="10"/>
      <color indexed="10"/>
      <name val="仿宋_GB2312"/>
      <charset val="134"/>
    </font>
    <font>
      <b/>
      <sz val="10"/>
      <color indexed="19"/>
      <name val="宋体"/>
      <charset val="134"/>
    </font>
    <font>
      <b/>
      <sz val="10"/>
      <color indexed="19"/>
      <name val="Times New Roman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0066CC"/>
        <bgColor rgb="FF000000"/>
      </patternFill>
    </fill>
    <fill>
      <patternFill patternType="solid">
        <fgColor rgb="FF800080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33339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CC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42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9" borderId="3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0" borderId="36" applyNumberFormat="0" applyAlignment="0" applyProtection="0">
      <alignment vertical="center"/>
    </xf>
    <xf numFmtId="0" fontId="36" fillId="11" borderId="37" applyNumberFormat="0" applyAlignment="0" applyProtection="0">
      <alignment vertical="center"/>
    </xf>
    <xf numFmtId="0" fontId="37" fillId="11" borderId="36" applyNumberFormat="0" applyAlignment="0" applyProtection="0">
      <alignment vertical="center"/>
    </xf>
    <xf numFmtId="0" fontId="38" fillId="12" borderId="38" applyNumberFormat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7" fillId="0" borderId="0"/>
    <xf numFmtId="0" fontId="49" fillId="0" borderId="41" applyProtection="0">
      <alignment horizontal="center"/>
    </xf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1" fillId="0" borderId="43" applyNumberFormat="0" applyFill="0" applyAlignment="0" applyProtection="0"/>
    <xf numFmtId="0" fontId="51" fillId="0" borderId="43" applyNumberFormat="0" applyFill="0" applyAlignment="0" applyProtection="0"/>
    <xf numFmtId="0" fontId="51" fillId="0" borderId="43" applyNumberFormat="0" applyFill="0" applyAlignment="0" applyProtection="0"/>
    <xf numFmtId="0" fontId="51" fillId="0" borderId="43" applyNumberFormat="0" applyFill="0" applyAlignment="0" applyProtection="0"/>
    <xf numFmtId="0" fontId="51" fillId="0" borderId="43" applyNumberFormat="0" applyFill="0" applyAlignment="0" applyProtection="0"/>
    <xf numFmtId="0" fontId="51" fillId="0" borderId="43" applyNumberFormat="0" applyFill="0" applyAlignment="0" applyProtection="0"/>
    <xf numFmtId="0" fontId="51" fillId="0" borderId="43" applyNumberFormat="0" applyFill="0" applyAlignment="0" applyProtection="0"/>
    <xf numFmtId="0" fontId="51" fillId="0" borderId="43" applyNumberFormat="0" applyFill="0" applyAlignment="0" applyProtection="0"/>
    <xf numFmtId="0" fontId="52" fillId="0" borderId="44" applyNumberFormat="0" applyFill="0" applyAlignment="0" applyProtection="0"/>
    <xf numFmtId="0" fontId="52" fillId="0" borderId="44" applyNumberFormat="0" applyFill="0" applyAlignment="0" applyProtection="0"/>
    <xf numFmtId="0" fontId="52" fillId="0" borderId="44" applyNumberFormat="0" applyFill="0" applyAlignment="0" applyProtection="0"/>
    <xf numFmtId="0" fontId="52" fillId="0" borderId="44" applyNumberFormat="0" applyFill="0" applyAlignment="0" applyProtection="0"/>
    <xf numFmtId="0" fontId="52" fillId="0" borderId="44" applyNumberFormat="0" applyFill="0" applyAlignment="0" applyProtection="0"/>
    <xf numFmtId="0" fontId="52" fillId="0" borderId="44" applyNumberFormat="0" applyFill="0" applyAlignment="0" applyProtection="0"/>
    <xf numFmtId="0" fontId="52" fillId="0" borderId="44" applyNumberFormat="0" applyFill="0" applyAlignment="0" applyProtection="0"/>
    <xf numFmtId="0" fontId="52" fillId="0" borderId="44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45" applyBorder="0" applyAlignment="0"/>
    <xf numFmtId="0" fontId="54" fillId="0" borderId="45" applyBorder="0" applyAlignment="0"/>
    <xf numFmtId="0" fontId="54" fillId="0" borderId="45" applyBorder="0" applyAlignment="0"/>
    <xf numFmtId="0" fontId="54" fillId="0" borderId="45" applyBorder="0" applyAlignment="0"/>
    <xf numFmtId="0" fontId="54" fillId="0" borderId="45" applyBorder="0" applyAlignment="0"/>
    <xf numFmtId="0" fontId="54" fillId="0" borderId="45" applyBorder="0" applyAlignment="0"/>
    <xf numFmtId="0" fontId="54" fillId="0" borderId="45" applyBorder="0" applyAlignment="0"/>
    <xf numFmtId="0" fontId="54" fillId="0" borderId="45" applyBorder="0" applyAlignment="0"/>
    <xf numFmtId="0" fontId="54" fillId="0" borderId="45" applyBorder="0" applyAlignment="0"/>
    <xf numFmtId="0" fontId="54" fillId="0" borderId="45" applyBorder="0" applyAlignment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6" fillId="41" borderId="0" applyNumberFormat="0" applyBorder="0" applyAlignment="0" applyProtection="0"/>
    <xf numFmtId="0" fontId="55" fillId="41" borderId="0" applyNumberFormat="0" applyBorder="0" applyAlignment="0" applyProtection="0"/>
    <xf numFmtId="0" fontId="56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24" fillId="0" borderId="0">
      <alignment vertical="center"/>
    </xf>
    <xf numFmtId="0" fontId="47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0" fillId="0" borderId="0"/>
    <xf numFmtId="0" fontId="47" fillId="0" borderId="0">
      <alignment vertical="center"/>
    </xf>
    <xf numFmtId="0" fontId="57" fillId="0" borderId="0"/>
    <xf numFmtId="0" fontId="57" fillId="0" borderId="0"/>
    <xf numFmtId="0" fontId="2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/>
    <xf numFmtId="0" fontId="57" fillId="0" borderId="0"/>
    <xf numFmtId="0" fontId="47" fillId="0" borderId="0"/>
    <xf numFmtId="0" fontId="57" fillId="0" borderId="0"/>
    <xf numFmtId="0" fontId="57" fillId="0" borderId="0"/>
    <xf numFmtId="0" fontId="57" fillId="0" borderId="0"/>
    <xf numFmtId="0" fontId="47" fillId="0" borderId="0"/>
    <xf numFmtId="0" fontId="57" fillId="0" borderId="0"/>
    <xf numFmtId="0" fontId="24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60" fillId="53" borderId="41" applyNumberFormat="0" applyAlignment="0" applyProtection="0"/>
    <xf numFmtId="0" fontId="60" fillId="53" borderId="41" applyNumberFormat="0" applyAlignment="0" applyProtection="0"/>
    <xf numFmtId="0" fontId="60" fillId="53" borderId="41" applyNumberFormat="0" applyAlignment="0" applyProtection="0"/>
    <xf numFmtId="0" fontId="60" fillId="53" borderId="41" applyNumberFormat="0" applyAlignment="0" applyProtection="0"/>
    <xf numFmtId="0" fontId="60" fillId="53" borderId="41" applyNumberFormat="0" applyAlignment="0" applyProtection="0"/>
    <xf numFmtId="0" fontId="60" fillId="53" borderId="41" applyNumberFormat="0" applyAlignment="0" applyProtection="0"/>
    <xf numFmtId="0" fontId="60" fillId="53" borderId="41" applyNumberFormat="0" applyAlignment="0" applyProtection="0"/>
    <xf numFmtId="0" fontId="60" fillId="53" borderId="41" applyNumberFormat="0" applyAlignment="0" applyProtection="0"/>
    <xf numFmtId="0" fontId="61" fillId="54" borderId="47" applyNumberFormat="0" applyAlignment="0" applyProtection="0"/>
    <xf numFmtId="0" fontId="61" fillId="54" borderId="47" applyNumberFormat="0" applyAlignment="0" applyProtection="0"/>
    <xf numFmtId="0" fontId="61" fillId="54" borderId="47" applyNumberFormat="0" applyAlignment="0" applyProtection="0"/>
    <xf numFmtId="0" fontId="61" fillId="54" borderId="47" applyNumberFormat="0" applyAlignment="0" applyProtection="0"/>
    <xf numFmtId="0" fontId="61" fillId="54" borderId="47" applyNumberFormat="0" applyAlignment="0" applyProtection="0"/>
    <xf numFmtId="0" fontId="61" fillId="54" borderId="47" applyNumberFormat="0" applyAlignment="0" applyProtection="0"/>
    <xf numFmtId="0" fontId="61" fillId="54" borderId="47" applyNumberFormat="0" applyAlignment="0" applyProtection="0"/>
    <xf numFmtId="0" fontId="61" fillId="54" borderId="47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48" applyNumberFormat="0" applyFill="0" applyAlignment="0" applyProtection="0"/>
    <xf numFmtId="0" fontId="64" fillId="0" borderId="48" applyNumberFormat="0" applyFill="0" applyAlignment="0" applyProtection="0"/>
    <xf numFmtId="0" fontId="64" fillId="0" borderId="48" applyNumberFormat="0" applyFill="0" applyAlignment="0" applyProtection="0"/>
    <xf numFmtId="0" fontId="64" fillId="0" borderId="48" applyNumberFormat="0" applyFill="0" applyAlignment="0" applyProtection="0"/>
    <xf numFmtId="0" fontId="64" fillId="0" borderId="48" applyNumberFormat="0" applyFill="0" applyAlignment="0" applyProtection="0"/>
    <xf numFmtId="0" fontId="64" fillId="0" borderId="48" applyNumberFormat="0" applyFill="0" applyAlignment="0" applyProtection="0"/>
    <xf numFmtId="0" fontId="64" fillId="0" borderId="48" applyNumberFormat="0" applyFill="0" applyAlignment="0" applyProtection="0"/>
    <xf numFmtId="0" fontId="64" fillId="0" borderId="48" applyNumberFormat="0" applyFill="0" applyAlignment="0" applyProtection="0"/>
    <xf numFmtId="0" fontId="65" fillId="0" borderId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48" fillId="58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66" fillId="59" borderId="0" applyNumberFormat="0" applyBorder="0" applyAlignment="0" applyProtection="0"/>
    <xf numFmtId="0" fontId="67" fillId="53" borderId="49" applyNumberFormat="0" applyAlignment="0" applyProtection="0"/>
    <xf numFmtId="0" fontId="67" fillId="53" borderId="49" applyNumberFormat="0" applyAlignment="0" applyProtection="0"/>
    <xf numFmtId="0" fontId="67" fillId="53" borderId="49" applyNumberFormat="0" applyAlignment="0" applyProtection="0"/>
    <xf numFmtId="0" fontId="67" fillId="53" borderId="49" applyNumberFormat="0" applyAlignment="0" applyProtection="0"/>
    <xf numFmtId="0" fontId="67" fillId="53" borderId="49" applyNumberFormat="0" applyAlignment="0" applyProtection="0"/>
    <xf numFmtId="0" fontId="67" fillId="53" borderId="49" applyNumberFormat="0" applyAlignment="0" applyProtection="0"/>
    <xf numFmtId="0" fontId="67" fillId="53" borderId="49" applyNumberFormat="0" applyAlignment="0" applyProtection="0"/>
    <xf numFmtId="0" fontId="67" fillId="53" borderId="49" applyNumberFormat="0" applyAlignment="0" applyProtection="0"/>
    <xf numFmtId="0" fontId="68" fillId="44" borderId="41" applyNumberFormat="0" applyAlignment="0" applyProtection="0"/>
    <xf numFmtId="0" fontId="68" fillId="44" borderId="41" applyNumberFormat="0" applyAlignment="0" applyProtection="0"/>
    <xf numFmtId="0" fontId="68" fillId="44" borderId="41" applyNumberFormat="0" applyAlignment="0" applyProtection="0"/>
    <xf numFmtId="0" fontId="68" fillId="44" borderId="41" applyNumberFormat="0" applyAlignment="0" applyProtection="0"/>
    <xf numFmtId="0" fontId="68" fillId="44" borderId="41" applyNumberFormat="0" applyAlignment="0" applyProtection="0"/>
    <xf numFmtId="0" fontId="68" fillId="44" borderId="41" applyNumberFormat="0" applyAlignment="0" applyProtection="0"/>
    <xf numFmtId="0" fontId="68" fillId="44" borderId="41" applyNumberFormat="0" applyAlignment="0" applyProtection="0"/>
    <xf numFmtId="0" fontId="68" fillId="44" borderId="41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</cellStyleXfs>
  <cellXfs count="23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2" fontId="3" fillId="2" borderId="6" xfId="0" applyNumberFormat="1" applyFont="1" applyFill="1" applyBorder="1" applyAlignment="1">
      <alignment vertical="center"/>
    </xf>
    <xf numFmtId="10" fontId="3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10" fontId="5" fillId="0" borderId="10" xfId="0" applyNumberFormat="1" applyFont="1" applyBorder="1" applyAlignment="1">
      <alignment horizontal="right" vertical="center"/>
    </xf>
    <xf numFmtId="10" fontId="5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2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vertical="center"/>
    </xf>
    <xf numFmtId="2" fontId="2" fillId="0" borderId="18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2" fontId="3" fillId="0" borderId="20" xfId="0" applyNumberFormat="1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2" fontId="2" fillId="0" borderId="2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77" fontId="9" fillId="0" borderId="6" xfId="0" applyNumberFormat="1" applyFont="1" applyBorder="1" applyAlignment="1">
      <alignment vertical="center"/>
    </xf>
    <xf numFmtId="2" fontId="3" fillId="3" borderId="7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0" fontId="9" fillId="0" borderId="6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2" fontId="3" fillId="0" borderId="11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0" xfId="0" applyNumberFormat="1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0" fontId="8" fillId="4" borderId="0" xfId="0" applyNumberFormat="1" applyFont="1" applyFill="1" applyAlignment="1">
      <alignment horizontal="center" vertical="center"/>
    </xf>
    <xf numFmtId="2" fontId="1" fillId="3" borderId="4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0" fontId="3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vertical="center"/>
    </xf>
    <xf numFmtId="10" fontId="3" fillId="5" borderId="7" xfId="197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" fontId="3" fillId="3" borderId="6" xfId="0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2" fontId="0" fillId="0" borderId="20" xfId="0" applyNumberFormat="1" applyBorder="1" applyAlignment="1">
      <alignment vertical="center"/>
    </xf>
    <xf numFmtId="10" fontId="0" fillId="0" borderId="20" xfId="196" applyNumberFormat="1" applyFont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10" fontId="3" fillId="5" borderId="11" xfId="197" applyNumberFormat="1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2" fontId="0" fillId="6" borderId="20" xfId="0" applyNumberFormat="1" applyFill="1" applyBorder="1" applyAlignment="1">
      <alignment vertical="center"/>
    </xf>
    <xf numFmtId="10" fontId="3" fillId="5" borderId="11" xfId="0" applyNumberFormat="1" applyFont="1" applyFill="1" applyBorder="1" applyAlignment="1">
      <alignment vertical="center"/>
    </xf>
    <xf numFmtId="177" fontId="0" fillId="0" borderId="20" xfId="0" applyNumberForma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2" fontId="3" fillId="5" borderId="7" xfId="0" applyNumberFormat="1" applyFont="1" applyFill="1" applyBorder="1" applyAlignment="1">
      <alignment vertical="center"/>
    </xf>
    <xf numFmtId="2" fontId="10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2" fontId="3" fillId="0" borderId="10" xfId="0" applyNumberFormat="1" applyFont="1" applyBorder="1" applyAlignment="1">
      <alignment vertical="center"/>
    </xf>
    <xf numFmtId="2" fontId="15" fillId="0" borderId="20" xfId="0" applyNumberFormat="1" applyFont="1" applyBorder="1" applyAlignment="1">
      <alignment horizontal="right" vertical="center"/>
    </xf>
    <xf numFmtId="2" fontId="16" fillId="0" borderId="20" xfId="0" applyNumberFormat="1" applyFont="1" applyBorder="1" applyAlignment="1">
      <alignment horizontal="right" vertical="center"/>
    </xf>
    <xf numFmtId="2" fontId="14" fillId="0" borderId="20" xfId="0" applyNumberFormat="1" applyFont="1" applyBorder="1" applyAlignment="1">
      <alignment horizontal="right" vertical="center"/>
    </xf>
    <xf numFmtId="10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10" fontId="3" fillId="0" borderId="31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0" fontId="3" fillId="0" borderId="6" xfId="0" applyNumberFormat="1" applyFont="1" applyBorder="1"/>
    <xf numFmtId="2" fontId="3" fillId="0" borderId="6" xfId="0" applyNumberFormat="1" applyFont="1" applyBorder="1"/>
    <xf numFmtId="2" fontId="3" fillId="3" borderId="7" xfId="0" applyNumberFormat="1" applyFont="1" applyFill="1" applyBorder="1"/>
    <xf numFmtId="0" fontId="3" fillId="0" borderId="7" xfId="0" applyFont="1" applyBorder="1"/>
    <xf numFmtId="177" fontId="3" fillId="0" borderId="6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9" xfId="0" applyFont="1" applyBorder="1"/>
    <xf numFmtId="0" fontId="1" fillId="0" borderId="10" xfId="0" applyFont="1" applyBorder="1"/>
    <xf numFmtId="0" fontId="3" fillId="0" borderId="10" xfId="0" applyFont="1" applyBorder="1"/>
    <xf numFmtId="2" fontId="2" fillId="0" borderId="10" xfId="0" applyNumberFormat="1" applyFont="1" applyBorder="1"/>
    <xf numFmtId="0" fontId="3" fillId="0" borderId="11" xfId="0" applyFont="1" applyBorder="1"/>
    <xf numFmtId="0" fontId="10" fillId="0" borderId="6" xfId="0" applyFont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right" vertical="center"/>
    </xf>
    <xf numFmtId="0" fontId="17" fillId="0" borderId="0" xfId="0" applyFont="1"/>
    <xf numFmtId="0" fontId="0" fillId="0" borderId="0" xfId="0"/>
    <xf numFmtId="0" fontId="18" fillId="0" borderId="0" xfId="0" applyFont="1" applyAlignment="1">
      <alignment horizontal="center" vertical="center" wrapText="1" indent="2"/>
    </xf>
    <xf numFmtId="0" fontId="19" fillId="0" borderId="0" xfId="0" applyFont="1" applyAlignment="1">
      <alignment horizontal="center" vertical="center" wrapText="1" indent="2"/>
    </xf>
    <xf numFmtId="176" fontId="19" fillId="0" borderId="0" xfId="0" applyNumberFormat="1" applyFont="1" applyAlignment="1">
      <alignment horizontal="center" vertical="center" wrapText="1" indent="2"/>
    </xf>
    <xf numFmtId="0" fontId="20" fillId="0" borderId="0" xfId="0" applyFont="1"/>
    <xf numFmtId="0" fontId="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/>
    <xf numFmtId="0" fontId="22" fillId="7" borderId="20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179" fontId="22" fillId="0" borderId="20" xfId="0" applyNumberFormat="1" applyFont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vertical="center" wrapText="1"/>
    </xf>
    <xf numFmtId="180" fontId="23" fillId="7" borderId="20" xfId="0" applyNumberFormat="1" applyFont="1" applyFill="1" applyBorder="1" applyAlignment="1">
      <alignment vertical="center" wrapText="1"/>
    </xf>
    <xf numFmtId="49" fontId="23" fillId="7" borderId="20" xfId="264" applyNumberFormat="1" applyFont="1" applyFill="1" applyBorder="1" applyAlignment="1">
      <alignment horizontal="center" vertical="center" wrapText="1"/>
    </xf>
    <xf numFmtId="49" fontId="23" fillId="7" borderId="22" xfId="363" applyNumberFormat="1" applyFont="1" applyFill="1" applyBorder="1" applyAlignment="1">
      <alignment horizontal="left" vertical="center" wrapText="1"/>
    </xf>
    <xf numFmtId="0" fontId="22" fillId="7" borderId="20" xfId="264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left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right" vertical="center" wrapText="1"/>
    </xf>
    <xf numFmtId="0" fontId="24" fillId="0" borderId="20" xfId="0" applyFont="1" applyBorder="1" applyAlignment="1">
      <alignment horizontal="right" vertical="center" wrapText="1"/>
    </xf>
    <xf numFmtId="0" fontId="25" fillId="0" borderId="20" xfId="0" applyFont="1" applyBorder="1" applyAlignment="1">
      <alignment horizontal="right" vertical="center" wrapText="1"/>
    </xf>
    <xf numFmtId="180" fontId="22" fillId="7" borderId="20" xfId="264" applyNumberFormat="1" applyFont="1" applyFill="1" applyBorder="1" applyAlignment="1">
      <alignment horizontal="right" vertical="center" wrapText="1" shrinkToFit="1"/>
    </xf>
    <xf numFmtId="180" fontId="22" fillId="0" borderId="20" xfId="0" applyNumberFormat="1" applyFont="1" applyFill="1" applyBorder="1" applyAlignment="1">
      <alignment horizontal="right" vertical="center" wrapText="1"/>
    </xf>
    <xf numFmtId="0" fontId="22" fillId="0" borderId="20" xfId="267" applyFont="1" applyBorder="1" applyAlignment="1">
      <alignment horizontal="left" vertical="center" wrapText="1"/>
    </xf>
    <xf numFmtId="0" fontId="23" fillId="7" borderId="20" xfId="264" applyFont="1" applyFill="1" applyBorder="1" applyAlignment="1">
      <alignment horizontal="center" vertical="center" wrapText="1"/>
    </xf>
    <xf numFmtId="180" fontId="23" fillId="7" borderId="20" xfId="264" applyNumberFormat="1" applyFont="1" applyFill="1" applyBorder="1" applyAlignment="1">
      <alignment horizontal="right" vertical="center" wrapText="1" shrinkToFit="1"/>
    </xf>
    <xf numFmtId="180" fontId="23" fillId="0" borderId="20" xfId="0" applyNumberFormat="1" applyFont="1" applyBorder="1" applyAlignment="1">
      <alignment horizontal="right" vertical="center" wrapText="1"/>
    </xf>
    <xf numFmtId="0" fontId="23" fillId="7" borderId="20" xfId="264" applyFont="1" applyFill="1" applyBorder="1" applyAlignment="1">
      <alignment vertical="center" wrapText="1"/>
    </xf>
    <xf numFmtId="180" fontId="22" fillId="0" borderId="20" xfId="267" applyNumberFormat="1" applyFont="1" applyFill="1" applyBorder="1" applyAlignment="1">
      <alignment horizontal="right" vertical="center" wrapText="1"/>
    </xf>
    <xf numFmtId="180" fontId="22" fillId="7" borderId="20" xfId="267" applyNumberFormat="1" applyFont="1" applyFill="1" applyBorder="1" applyAlignment="1">
      <alignment horizontal="right" vertical="center" wrapText="1"/>
    </xf>
    <xf numFmtId="0" fontId="24" fillId="8" borderId="22" xfId="0" applyFont="1" applyFill="1" applyBorder="1" applyAlignment="1">
      <alignment horizontal="left" vertical="center" wrapText="1"/>
    </xf>
    <xf numFmtId="49" fontId="22" fillId="7" borderId="22" xfId="363" applyNumberFormat="1" applyFont="1" applyFill="1" applyBorder="1" applyAlignment="1">
      <alignment horizontal="left" vertical="center" wrapText="1"/>
    </xf>
    <xf numFmtId="0" fontId="22" fillId="7" borderId="20" xfId="264" applyFont="1" applyFill="1" applyBorder="1" applyAlignment="1">
      <alignment vertical="center" wrapText="1"/>
    </xf>
    <xf numFmtId="180" fontId="22" fillId="0" borderId="20" xfId="0" applyNumberFormat="1" applyFont="1" applyBorder="1" applyAlignment="1">
      <alignment horizontal="right" vertical="center" wrapText="1"/>
    </xf>
    <xf numFmtId="49" fontId="22" fillId="7" borderId="20" xfId="363" applyNumberFormat="1" applyFont="1" applyFill="1" applyBorder="1" applyAlignment="1">
      <alignment horizontal="left" vertical="center" wrapText="1"/>
    </xf>
    <xf numFmtId="49" fontId="22" fillId="7" borderId="20" xfId="0" applyNumberFormat="1" applyFont="1" applyFill="1" applyBorder="1" applyAlignment="1">
      <alignment horizontal="center" vertical="center" wrapText="1"/>
    </xf>
    <xf numFmtId="49" fontId="22" fillId="7" borderId="20" xfId="0" applyNumberFormat="1" applyFont="1" applyFill="1" applyBorder="1" applyAlignment="1">
      <alignment horizontal="left" vertical="center" wrapText="1"/>
    </xf>
    <xf numFmtId="180" fontId="22" fillId="7" borderId="20" xfId="0" applyNumberFormat="1" applyFont="1" applyFill="1" applyBorder="1" applyAlignment="1">
      <alignment vertical="center" wrapText="1"/>
    </xf>
    <xf numFmtId="179" fontId="22" fillId="7" borderId="20" xfId="0" applyNumberFormat="1" applyFont="1" applyFill="1" applyBorder="1" applyAlignment="1">
      <alignment horizontal="right" vertical="center" wrapText="1"/>
    </xf>
    <xf numFmtId="179" fontId="0" fillId="0" borderId="0" xfId="0" applyNumberFormat="1"/>
    <xf numFmtId="0" fontId="26" fillId="0" borderId="0" xfId="0" applyFont="1"/>
    <xf numFmtId="176" fontId="0" fillId="0" borderId="0" xfId="0" applyNumberFormat="1"/>
    <xf numFmtId="179" fontId="26" fillId="0" borderId="0" xfId="0" applyNumberFormat="1" applyFont="1"/>
    <xf numFmtId="176" fontId="26" fillId="0" borderId="0" xfId="0" applyNumberFormat="1" applyFont="1"/>
    <xf numFmtId="180" fontId="17" fillId="0" borderId="0" xfId="0" applyNumberFormat="1" applyFont="1"/>
  </cellXfs>
  <cellStyles count="4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IBM Server Price 060314" xfId="49"/>
    <cellStyle name="0,0_x000d__x000a_NA_x000d__x000a_" xfId="50"/>
    <cellStyle name="20% - 强调文字颜色 1 2" xfId="51"/>
    <cellStyle name="20% - 强调文字颜色 1 2 2" xfId="52"/>
    <cellStyle name="20% - 强调文字颜色 1 2 3" xfId="53"/>
    <cellStyle name="20% - 强调文字颜色 1 2 3 2" xfId="54"/>
    <cellStyle name="20% - 强调文字颜色 1 2 3_沪苏边界水闸 - 副本" xfId="55"/>
    <cellStyle name="20% - 强调文字颜色 1 3" xfId="56"/>
    <cellStyle name="20% - 强调文字颜色 1 3 2" xfId="57"/>
    <cellStyle name="20% - 强调文字颜色 1 3_沪苏边界水闸 - 副本" xfId="58"/>
    <cellStyle name="20% - 强调文字颜色 2 2" xfId="59"/>
    <cellStyle name="20% - 强调文字颜色 2 2 2" xfId="60"/>
    <cellStyle name="20% - 强调文字颜色 2 2 3" xfId="61"/>
    <cellStyle name="20% - 强调文字颜色 2 2 3 2" xfId="62"/>
    <cellStyle name="20% - 强调文字颜色 2 2 3_沪苏边界水闸 - 副本" xfId="63"/>
    <cellStyle name="20% - 强调文字颜色 2 3" xfId="64"/>
    <cellStyle name="20% - 强调文字颜色 2 3 2" xfId="65"/>
    <cellStyle name="20% - 强调文字颜色 2 3_沪苏边界水闸 - 副本" xfId="66"/>
    <cellStyle name="20% - 强调文字颜色 3 2" xfId="67"/>
    <cellStyle name="20% - 强调文字颜色 3 2 2" xfId="68"/>
    <cellStyle name="20% - 强调文字颜色 3 2 3" xfId="69"/>
    <cellStyle name="20% - 强调文字颜色 3 2 3 2" xfId="70"/>
    <cellStyle name="20% - 强调文字颜色 3 2 3_沪苏边界水闸 - 副本" xfId="71"/>
    <cellStyle name="20% - 强调文字颜色 3 3" xfId="72"/>
    <cellStyle name="20% - 强调文字颜色 3 3 2" xfId="73"/>
    <cellStyle name="20% - 强调文字颜色 3 3_沪苏边界水闸 - 副本" xfId="74"/>
    <cellStyle name="20% - 强调文字颜色 4 2" xfId="75"/>
    <cellStyle name="20% - 强调文字颜色 4 2 2" xfId="76"/>
    <cellStyle name="20% - 强调文字颜色 4 2 3" xfId="77"/>
    <cellStyle name="20% - 强调文字颜色 4 2 3 2" xfId="78"/>
    <cellStyle name="20% - 强调文字颜色 4 2 3_沪苏边界水闸 - 副本" xfId="79"/>
    <cellStyle name="20% - 强调文字颜色 4 3" xfId="80"/>
    <cellStyle name="20% - 强调文字颜色 4 3 2" xfId="81"/>
    <cellStyle name="20% - 强调文字颜色 4 3_沪苏边界水闸 - 副本" xfId="82"/>
    <cellStyle name="20% - 强调文字颜色 5 2" xfId="83"/>
    <cellStyle name="20% - 强调文字颜色 5 2 2" xfId="84"/>
    <cellStyle name="20% - 强调文字颜色 5 2 3" xfId="85"/>
    <cellStyle name="20% - 强调文字颜色 5 2 3 2" xfId="86"/>
    <cellStyle name="20% - 强调文字颜色 5 2 3_沪苏边界水闸 - 副本" xfId="87"/>
    <cellStyle name="20% - 强调文字颜色 5 3" xfId="88"/>
    <cellStyle name="20% - 强调文字颜色 5 3 2" xfId="89"/>
    <cellStyle name="20% - 强调文字颜色 5 3_沪苏边界水闸 - 副本" xfId="90"/>
    <cellStyle name="20% - 强调文字颜色 6 2" xfId="91"/>
    <cellStyle name="20% - 强调文字颜色 6 2 2" xfId="92"/>
    <cellStyle name="20% - 强调文字颜色 6 2 3" xfId="93"/>
    <cellStyle name="20% - 强调文字颜色 6 2 3 2" xfId="94"/>
    <cellStyle name="20% - 强调文字颜色 6 2 3_沪苏边界水闸 - 副本" xfId="95"/>
    <cellStyle name="20% - 强调文字颜色 6 3" xfId="96"/>
    <cellStyle name="20% - 强调文字颜色 6 3 2" xfId="97"/>
    <cellStyle name="20% - 强调文字颜色 6 3_沪苏边界水闸 - 副本" xfId="98"/>
    <cellStyle name="40% - 强调文字颜色 1 2" xfId="99"/>
    <cellStyle name="40% - 强调文字颜色 1 2 2" xfId="100"/>
    <cellStyle name="40% - 强调文字颜色 1 2 3" xfId="101"/>
    <cellStyle name="40% - 强调文字颜色 1 2 3 2" xfId="102"/>
    <cellStyle name="40% - 强调文字颜色 1 2 3_沪苏边界水闸 - 副本" xfId="103"/>
    <cellStyle name="40% - 强调文字颜色 1 3" xfId="104"/>
    <cellStyle name="40% - 强调文字颜色 1 3 2" xfId="105"/>
    <cellStyle name="40% - 强调文字颜色 1 3_沪苏边界水闸 - 副本" xfId="106"/>
    <cellStyle name="40% - 强调文字颜色 2 2" xfId="107"/>
    <cellStyle name="40% - 强调文字颜色 2 2 2" xfId="108"/>
    <cellStyle name="40% - 强调文字颜色 2 2 3" xfId="109"/>
    <cellStyle name="40% - 强调文字颜色 2 2 3 2" xfId="110"/>
    <cellStyle name="40% - 强调文字颜色 2 2 3_沪苏边界水闸 - 副本" xfId="111"/>
    <cellStyle name="40% - 强调文字颜色 2 3" xfId="112"/>
    <cellStyle name="40% - 强调文字颜色 2 3 2" xfId="113"/>
    <cellStyle name="40% - 强调文字颜色 2 3_沪苏边界水闸 - 副本" xfId="114"/>
    <cellStyle name="40% - 强调文字颜色 3 2" xfId="115"/>
    <cellStyle name="40% - 强调文字颜色 3 2 2" xfId="116"/>
    <cellStyle name="40% - 强调文字颜色 3 2 3" xfId="117"/>
    <cellStyle name="40% - 强调文字颜色 3 2 3 2" xfId="118"/>
    <cellStyle name="40% - 强调文字颜色 3 2 3_沪苏边界水闸 - 副本" xfId="119"/>
    <cellStyle name="40% - 强调文字颜色 3 3" xfId="120"/>
    <cellStyle name="40% - 强调文字颜色 3 3 2" xfId="121"/>
    <cellStyle name="40% - 强调文字颜色 3 3_沪苏边界水闸 - 副本" xfId="122"/>
    <cellStyle name="40% - 强调文字颜色 4 2" xfId="123"/>
    <cellStyle name="40% - 强调文字颜色 4 2 2" xfId="124"/>
    <cellStyle name="40% - 强调文字颜色 4 2 3" xfId="125"/>
    <cellStyle name="40% - 强调文字颜色 4 2 3 2" xfId="126"/>
    <cellStyle name="40% - 强调文字颜色 4 2 3_沪苏边界水闸 - 副本" xfId="127"/>
    <cellStyle name="40% - 强调文字颜色 4 3" xfId="128"/>
    <cellStyle name="40% - 强调文字颜色 4 3 2" xfId="129"/>
    <cellStyle name="40% - 强调文字颜色 4 3_沪苏边界水闸 - 副本" xfId="130"/>
    <cellStyle name="40% - 强调文字颜色 5 2" xfId="131"/>
    <cellStyle name="40% - 强调文字颜色 5 2 2" xfId="132"/>
    <cellStyle name="40% - 强调文字颜色 5 2 3" xfId="133"/>
    <cellStyle name="40% - 强调文字颜色 5 2 3 2" xfId="134"/>
    <cellStyle name="40% - 强调文字颜色 5 2 3_沪苏边界水闸 - 副本" xfId="135"/>
    <cellStyle name="40% - 强调文字颜色 5 3" xfId="136"/>
    <cellStyle name="40% - 强调文字颜色 5 3 2" xfId="137"/>
    <cellStyle name="40% - 强调文字颜色 5 3_沪苏边界水闸 - 副本" xfId="138"/>
    <cellStyle name="40% - 强调文字颜色 6 2" xfId="139"/>
    <cellStyle name="40% - 强调文字颜色 6 2 2" xfId="140"/>
    <cellStyle name="40% - 强调文字颜色 6 2 3" xfId="141"/>
    <cellStyle name="40% - 强调文字颜色 6 2 3 2" xfId="142"/>
    <cellStyle name="40% - 强调文字颜色 6 2 3_沪苏边界水闸 - 副本" xfId="143"/>
    <cellStyle name="40% - 强调文字颜色 6 3" xfId="144"/>
    <cellStyle name="40% - 强调文字颜色 6 3 2" xfId="145"/>
    <cellStyle name="40% - 强调文字颜色 6 3_沪苏边界水闸 - 副本" xfId="146"/>
    <cellStyle name="60% - 强调文字颜色 1 2" xfId="147"/>
    <cellStyle name="60% - 强调文字颜色 1 2 2" xfId="148"/>
    <cellStyle name="60% - 强调文字颜色 1 2 3" xfId="149"/>
    <cellStyle name="60% - 强调文字颜色 1 2 3 2" xfId="150"/>
    <cellStyle name="60% - 强调文字颜色 1 2 3_沪苏边界水闸 - 副本" xfId="151"/>
    <cellStyle name="60% - 强调文字颜色 1 3" xfId="152"/>
    <cellStyle name="60% - 强调文字颜色 1 3 2" xfId="153"/>
    <cellStyle name="60% - 强调文字颜色 1 3_沪苏边界水闸 - 副本" xfId="154"/>
    <cellStyle name="60% - 强调文字颜色 2 2" xfId="155"/>
    <cellStyle name="60% - 强调文字颜色 2 2 2" xfId="156"/>
    <cellStyle name="60% - 强调文字颜色 2 2 3" xfId="157"/>
    <cellStyle name="60% - 强调文字颜色 2 2 3 2" xfId="158"/>
    <cellStyle name="60% - 强调文字颜色 2 2 3_沪苏边界水闸 - 副本" xfId="159"/>
    <cellStyle name="60% - 强调文字颜色 2 3" xfId="160"/>
    <cellStyle name="60% - 强调文字颜色 2 3 2" xfId="161"/>
    <cellStyle name="60% - 强调文字颜色 2 3_沪苏边界水闸 - 副本" xfId="162"/>
    <cellStyle name="60% - 强调文字颜色 3 2" xfId="163"/>
    <cellStyle name="60% - 强调文字颜色 3 2 2" xfId="164"/>
    <cellStyle name="60% - 强调文字颜色 3 2 3" xfId="165"/>
    <cellStyle name="60% - 强调文字颜色 3 2 3 2" xfId="166"/>
    <cellStyle name="60% - 强调文字颜色 3 2 3_沪苏边界水闸 - 副本" xfId="167"/>
    <cellStyle name="60% - 强调文字颜色 3 3" xfId="168"/>
    <cellStyle name="60% - 强调文字颜色 3 3 2" xfId="169"/>
    <cellStyle name="60% - 强调文字颜色 3 3_沪苏边界水闸 - 副本" xfId="170"/>
    <cellStyle name="60% - 强调文字颜色 4 2" xfId="171"/>
    <cellStyle name="60% - 强调文字颜色 4 2 2" xfId="172"/>
    <cellStyle name="60% - 强调文字颜色 4 2 3" xfId="173"/>
    <cellStyle name="60% - 强调文字颜色 4 2 3 2" xfId="174"/>
    <cellStyle name="60% - 强调文字颜色 4 2 3_沪苏边界水闸 - 副本" xfId="175"/>
    <cellStyle name="60% - 强调文字颜色 4 3" xfId="176"/>
    <cellStyle name="60% - 强调文字颜色 4 3 2" xfId="177"/>
    <cellStyle name="60% - 强调文字颜色 4 3_沪苏边界水闸 - 副本" xfId="178"/>
    <cellStyle name="60% - 强调文字颜色 5 2" xfId="179"/>
    <cellStyle name="60% - 强调文字颜色 5 2 2" xfId="180"/>
    <cellStyle name="60% - 强调文字颜色 5 2 3" xfId="181"/>
    <cellStyle name="60% - 强调文字颜色 5 2 3 2" xfId="182"/>
    <cellStyle name="60% - 强调文字颜色 5 2 3_沪苏边界水闸 - 副本" xfId="183"/>
    <cellStyle name="60% - 强调文字颜色 5 3" xfId="184"/>
    <cellStyle name="60% - 强调文字颜色 5 3 2" xfId="185"/>
    <cellStyle name="60% - 强调文字颜色 5 3_沪苏边界水闸 - 副本" xfId="186"/>
    <cellStyle name="60% - 强调文字颜色 6 2" xfId="187"/>
    <cellStyle name="60% - 强调文字颜色 6 2 2" xfId="188"/>
    <cellStyle name="60% - 强调文字颜色 6 2 3" xfId="189"/>
    <cellStyle name="60% - 强调文字颜色 6 2 3 2" xfId="190"/>
    <cellStyle name="60% - 强调文字颜色 6 2 3_沪苏边界水闸 - 副本" xfId="191"/>
    <cellStyle name="60% - 强调文字颜色 6 3" xfId="192"/>
    <cellStyle name="60% - 强调文字颜色 6 3 2" xfId="193"/>
    <cellStyle name="60% - 强调文字颜色 6 3_沪苏边界水闸 - 副本" xfId="194"/>
    <cellStyle name="Normal_chapter11 HEC sent 29 Nov 04" xfId="195"/>
    <cellStyle name="百分比 2" xfId="196"/>
    <cellStyle name="百分比 2 2" xfId="197"/>
    <cellStyle name="百分比 3" xfId="198"/>
    <cellStyle name="标题 1 2" xfId="199"/>
    <cellStyle name="标题 1 2 2" xfId="200"/>
    <cellStyle name="标题 1 2 3" xfId="201"/>
    <cellStyle name="标题 1 2 3 2" xfId="202"/>
    <cellStyle name="标题 1 2 3_沪苏边界水闸 - 副本" xfId="203"/>
    <cellStyle name="标题 1 3" xfId="204"/>
    <cellStyle name="标题 1 3 2" xfId="205"/>
    <cellStyle name="标题 1 3_沪苏边界水闸 - 副本" xfId="206"/>
    <cellStyle name="标题 2 2" xfId="207"/>
    <cellStyle name="标题 2 2 2" xfId="208"/>
    <cellStyle name="标题 2 2 3" xfId="209"/>
    <cellStyle name="标题 2 2 3 2" xfId="210"/>
    <cellStyle name="标题 2 2 3_沪苏边界水闸 - 副本" xfId="211"/>
    <cellStyle name="标题 2 3" xfId="212"/>
    <cellStyle name="标题 2 3 2" xfId="213"/>
    <cellStyle name="标题 2 3_沪苏边界水闸 - 副本" xfId="214"/>
    <cellStyle name="标题 3 2" xfId="215"/>
    <cellStyle name="标题 3 2 2" xfId="216"/>
    <cellStyle name="标题 3 2 3" xfId="217"/>
    <cellStyle name="标题 3 2 3 2" xfId="218"/>
    <cellStyle name="标题 3 2 3_沪苏边界水闸 - 副本" xfId="219"/>
    <cellStyle name="标题 3 3" xfId="220"/>
    <cellStyle name="标题 3 3 2" xfId="221"/>
    <cellStyle name="标题 3 3_沪苏边界水闸 - 副本" xfId="222"/>
    <cellStyle name="标题 4 2" xfId="223"/>
    <cellStyle name="标题 4 2 2" xfId="224"/>
    <cellStyle name="标题 4 2 3" xfId="225"/>
    <cellStyle name="标题 4 2 3 2" xfId="226"/>
    <cellStyle name="标题 4 2 3_沪苏边界水闸 - 副本" xfId="227"/>
    <cellStyle name="标题 4 3" xfId="228"/>
    <cellStyle name="标题 4 3 2" xfId="229"/>
    <cellStyle name="标题 4 3_沪苏边界水闸 - 副本" xfId="230"/>
    <cellStyle name="标题 5" xfId="231"/>
    <cellStyle name="标题 5 2" xfId="232"/>
    <cellStyle name="标题 5 3" xfId="233"/>
    <cellStyle name="标题 5 3 2" xfId="234"/>
    <cellStyle name="标题 5 3_沪苏边界水闸 - 副本" xfId="235"/>
    <cellStyle name="标题 6" xfId="236"/>
    <cellStyle name="标题 6 2" xfId="237"/>
    <cellStyle name="标题 6_沪苏边界水闸 - 副本" xfId="238"/>
    <cellStyle name="表头" xfId="239"/>
    <cellStyle name="表头 2" xfId="240"/>
    <cellStyle name="表头 2 2" xfId="241"/>
    <cellStyle name="表头 2 3" xfId="242"/>
    <cellStyle name="表头 2 3 2" xfId="243"/>
    <cellStyle name="表头 2 3_沪苏边界水闸 - 副本" xfId="244"/>
    <cellStyle name="表头 2_3座闸2012-4-16" xfId="245"/>
    <cellStyle name="表头 3" xfId="246"/>
    <cellStyle name="表头 3 2" xfId="247"/>
    <cellStyle name="表头 3_沪苏边界水闸 - 副本" xfId="248"/>
    <cellStyle name="差 2" xfId="249"/>
    <cellStyle name="差 2 2" xfId="250"/>
    <cellStyle name="差 2 3" xfId="251"/>
    <cellStyle name="差 2 3 2" xfId="252"/>
    <cellStyle name="差 2 3_沪苏边界水闸 - 副本" xfId="253"/>
    <cellStyle name="差 3" xfId="254"/>
    <cellStyle name="差 3 2" xfId="255"/>
    <cellStyle name="差 3_沪苏边界水闸 - 副本" xfId="256"/>
    <cellStyle name="差_Book1" xfId="257"/>
    <cellStyle name="差_泵闸工程量表" xfId="258"/>
    <cellStyle name="差_二类费用计算表" xfId="259"/>
    <cellStyle name="差_节制闸工程量表" xfId="260"/>
    <cellStyle name="差_美丽乡村投资  张庄村 东概算审核（罗）" xfId="261"/>
    <cellStyle name="差_松江区2016年美丽乡村石湖荡镇金汇村东片区中小河道整治工程概算对比表2016-4-8" xfId="262"/>
    <cellStyle name="常规 10" xfId="263"/>
    <cellStyle name="常规 10 2" xfId="264"/>
    <cellStyle name="常规 12" xfId="265"/>
    <cellStyle name="常规 12 2" xfId="266"/>
    <cellStyle name="常规 13" xfId="267"/>
    <cellStyle name="常规 2" xfId="268"/>
    <cellStyle name="常规 2 2" xfId="269"/>
    <cellStyle name="常规 2 2 2" xfId="270"/>
    <cellStyle name="常规 2 2 3" xfId="271"/>
    <cellStyle name="常规 2 2 3 2" xfId="272"/>
    <cellStyle name="常规 2 2 3_沪苏边界水闸 - 副本" xfId="273"/>
    <cellStyle name="常规 2 2_3座闸2012-4-16" xfId="274"/>
    <cellStyle name="常规 2 3" xfId="275"/>
    <cellStyle name="常规 2 4" xfId="276"/>
    <cellStyle name="常规 2 4 2" xfId="277"/>
    <cellStyle name="常规 2 4_沪苏边界水闸 - 副本" xfId="278"/>
    <cellStyle name="常规 2 5" xfId="279"/>
    <cellStyle name="常规 2_Book1" xfId="280"/>
    <cellStyle name="常规 3" xfId="281"/>
    <cellStyle name="常规 3 2" xfId="282"/>
    <cellStyle name="常规 3 2 2" xfId="283"/>
    <cellStyle name="常规 3 2_3座闸2012-4-16" xfId="284"/>
    <cellStyle name="常规 3 3" xfId="285"/>
    <cellStyle name="常规 3_Book1" xfId="286"/>
    <cellStyle name="常规 30" xfId="287"/>
    <cellStyle name="常规 30 2" xfId="288"/>
    <cellStyle name="常规 4" xfId="289"/>
    <cellStyle name="常规 4 2" xfId="290"/>
    <cellStyle name="常规 4 2 2" xfId="291"/>
    <cellStyle name="常规 4 2_沪苏边界水闸 - 副本" xfId="292"/>
    <cellStyle name="常规 4_3座闸2012-4-16" xfId="293"/>
    <cellStyle name="常规 5" xfId="294"/>
    <cellStyle name="常规 5 2" xfId="295"/>
    <cellStyle name="常规 5_沪苏边界水闸 - 副本" xfId="296"/>
    <cellStyle name="常规 6" xfId="297"/>
    <cellStyle name="常规 6 2" xfId="298"/>
    <cellStyle name="常规 7" xfId="299"/>
    <cellStyle name="常规_北横泾泵闸估算1" xfId="300"/>
    <cellStyle name="好 2" xfId="301"/>
    <cellStyle name="好 2 2" xfId="302"/>
    <cellStyle name="好 2 3" xfId="303"/>
    <cellStyle name="好 2 3 2" xfId="304"/>
    <cellStyle name="好 2 3_沪苏边界水闸 - 副本" xfId="305"/>
    <cellStyle name="好 3" xfId="306"/>
    <cellStyle name="好 3 2" xfId="307"/>
    <cellStyle name="好 3_沪苏边界水闸 - 副本" xfId="308"/>
    <cellStyle name="好_Book1" xfId="309"/>
    <cellStyle name="好_泵闸工程量表" xfId="310"/>
    <cellStyle name="好_二类费用计算表" xfId="311"/>
    <cellStyle name="好_节制闸工程量表" xfId="312"/>
    <cellStyle name="好_美丽乡村投资  张庄村 东概算审核（罗）" xfId="313"/>
    <cellStyle name="好_松江区2016年美丽乡村石湖荡镇金汇村东片区中小河道整治工程概算对比表2016-4-8" xfId="314"/>
    <cellStyle name="汇总 2" xfId="315"/>
    <cellStyle name="汇总 2 2" xfId="316"/>
    <cellStyle name="汇总 2 3" xfId="317"/>
    <cellStyle name="汇总 2 3 2" xfId="318"/>
    <cellStyle name="汇总 2 3_沪苏边界水闸 - 副本" xfId="319"/>
    <cellStyle name="汇总 3" xfId="320"/>
    <cellStyle name="汇总 3 2" xfId="321"/>
    <cellStyle name="汇总 3_沪苏边界水闸 - 副本" xfId="322"/>
    <cellStyle name="计算 2" xfId="323"/>
    <cellStyle name="计算 2 2" xfId="324"/>
    <cellStyle name="计算 2 3" xfId="325"/>
    <cellStyle name="计算 2 3 2" xfId="326"/>
    <cellStyle name="计算 2 3_沪苏边界水闸 - 副本" xfId="327"/>
    <cellStyle name="计算 3" xfId="328"/>
    <cellStyle name="计算 3 2" xfId="329"/>
    <cellStyle name="计算 3_沪苏边界水闸 - 副本" xfId="330"/>
    <cellStyle name="检查单元格 2" xfId="331"/>
    <cellStyle name="检查单元格 2 2" xfId="332"/>
    <cellStyle name="检查单元格 2 3" xfId="333"/>
    <cellStyle name="检查单元格 2 3 2" xfId="334"/>
    <cellStyle name="检查单元格 2 3_沪苏边界水闸 - 副本" xfId="335"/>
    <cellStyle name="检查单元格 3" xfId="336"/>
    <cellStyle name="检查单元格 3 2" xfId="337"/>
    <cellStyle name="检查单元格 3_沪苏边界水闸 - 副本" xfId="338"/>
    <cellStyle name="解释性文本 2" xfId="339"/>
    <cellStyle name="解释性文本 2 2" xfId="340"/>
    <cellStyle name="解释性文本 2 3" xfId="341"/>
    <cellStyle name="解释性文本 2 3 2" xfId="342"/>
    <cellStyle name="解释性文本 2 3_沪苏边界水闸 - 副本" xfId="343"/>
    <cellStyle name="解释性文本 3" xfId="344"/>
    <cellStyle name="解释性文本 3 2" xfId="345"/>
    <cellStyle name="解释性文本 3_沪苏边界水闸 - 副本" xfId="346"/>
    <cellStyle name="警告文本 2" xfId="347"/>
    <cellStyle name="警告文本 2 2" xfId="348"/>
    <cellStyle name="警告文本 2 3" xfId="349"/>
    <cellStyle name="警告文本 2 3 2" xfId="350"/>
    <cellStyle name="警告文本 2 3_沪苏边界水闸 - 副本" xfId="351"/>
    <cellStyle name="警告文本 3" xfId="352"/>
    <cellStyle name="警告文本 3 2" xfId="353"/>
    <cellStyle name="警告文本 3_沪苏边界水闸 - 副本" xfId="354"/>
    <cellStyle name="链接单元格 2" xfId="355"/>
    <cellStyle name="链接单元格 2 2" xfId="356"/>
    <cellStyle name="链接单元格 2 3" xfId="357"/>
    <cellStyle name="链接单元格 2 3 2" xfId="358"/>
    <cellStyle name="链接单元格 2 3_沪苏边界水闸 - 副本" xfId="359"/>
    <cellStyle name="链接单元格 3" xfId="360"/>
    <cellStyle name="链接单元格 3 2" xfId="361"/>
    <cellStyle name="链接单元格 3_沪苏边界水闸 - 副本" xfId="362"/>
    <cellStyle name="普通_总表_1" xfId="363"/>
    <cellStyle name="强调文字颜色 1 2" xfId="364"/>
    <cellStyle name="强调文字颜色 1 2 2" xfId="365"/>
    <cellStyle name="强调文字颜色 1 2 3" xfId="366"/>
    <cellStyle name="强调文字颜色 1 2 3 2" xfId="367"/>
    <cellStyle name="强调文字颜色 1 2 3_沪苏边界水闸 - 副本" xfId="368"/>
    <cellStyle name="强调文字颜色 1 3" xfId="369"/>
    <cellStyle name="强调文字颜色 1 3 2" xfId="370"/>
    <cellStyle name="强调文字颜色 1 3_沪苏边界水闸 - 副本" xfId="371"/>
    <cellStyle name="强调文字颜色 2 2" xfId="372"/>
    <cellStyle name="强调文字颜色 2 2 2" xfId="373"/>
    <cellStyle name="强调文字颜色 2 2 3" xfId="374"/>
    <cellStyle name="强调文字颜色 2 2 3 2" xfId="375"/>
    <cellStyle name="强调文字颜色 2 2 3_沪苏边界水闸 - 副本" xfId="376"/>
    <cellStyle name="强调文字颜色 2 3" xfId="377"/>
    <cellStyle name="强调文字颜色 2 3 2" xfId="378"/>
    <cellStyle name="强调文字颜色 2 3_沪苏边界水闸 - 副本" xfId="379"/>
    <cellStyle name="强调文字颜色 3 2" xfId="380"/>
    <cellStyle name="强调文字颜色 3 2 2" xfId="381"/>
    <cellStyle name="强调文字颜色 3 2 3" xfId="382"/>
    <cellStyle name="强调文字颜色 3 2 3 2" xfId="383"/>
    <cellStyle name="强调文字颜色 3 2 3_沪苏边界水闸 - 副本" xfId="384"/>
    <cellStyle name="强调文字颜色 3 3" xfId="385"/>
    <cellStyle name="强调文字颜色 3 3 2" xfId="386"/>
    <cellStyle name="强调文字颜色 3 3_沪苏边界水闸 - 副本" xfId="387"/>
    <cellStyle name="强调文字颜色 4 2" xfId="388"/>
    <cellStyle name="强调文字颜色 4 2 2" xfId="389"/>
    <cellStyle name="强调文字颜色 4 2 3" xfId="390"/>
    <cellStyle name="强调文字颜色 4 2 3 2" xfId="391"/>
    <cellStyle name="强调文字颜色 4 2 3_沪苏边界水闸 - 副本" xfId="392"/>
    <cellStyle name="强调文字颜色 4 3" xfId="393"/>
    <cellStyle name="强调文字颜色 4 3 2" xfId="394"/>
    <cellStyle name="强调文字颜色 4 3_沪苏边界水闸 - 副本" xfId="395"/>
    <cellStyle name="强调文字颜色 5 2" xfId="396"/>
    <cellStyle name="强调文字颜色 5 2 2" xfId="397"/>
    <cellStyle name="强调文字颜色 5 2 3" xfId="398"/>
    <cellStyle name="强调文字颜色 5 2 3 2" xfId="399"/>
    <cellStyle name="强调文字颜色 5 2 3_沪苏边界水闸 - 副本" xfId="400"/>
    <cellStyle name="强调文字颜色 5 3" xfId="401"/>
    <cellStyle name="强调文字颜色 5 3 2" xfId="402"/>
    <cellStyle name="强调文字颜色 5 3_沪苏边界水闸 - 副本" xfId="403"/>
    <cellStyle name="强调文字颜色 6 2" xfId="404"/>
    <cellStyle name="强调文字颜色 6 2 2" xfId="405"/>
    <cellStyle name="强调文字颜色 6 2 3" xfId="406"/>
    <cellStyle name="强调文字颜色 6 2 3 2" xfId="407"/>
    <cellStyle name="强调文字颜色 6 2 3_沪苏边界水闸 - 副本" xfId="408"/>
    <cellStyle name="强调文字颜色 6 3" xfId="409"/>
    <cellStyle name="强调文字颜色 6 3 2" xfId="410"/>
    <cellStyle name="强调文字颜色 6 3_沪苏边界水闸 - 副本" xfId="411"/>
    <cellStyle name="适中 2" xfId="412"/>
    <cellStyle name="适中 2 2" xfId="413"/>
    <cellStyle name="适中 2 3" xfId="414"/>
    <cellStyle name="适中 2 3 2" xfId="415"/>
    <cellStyle name="适中 2 3_沪苏边界水闸 - 副本" xfId="416"/>
    <cellStyle name="适中 3" xfId="417"/>
    <cellStyle name="适中 3 2" xfId="418"/>
    <cellStyle name="适中 3_沪苏边界水闸 - 副本" xfId="419"/>
    <cellStyle name="输出 2" xfId="420"/>
    <cellStyle name="输出 2 2" xfId="421"/>
    <cellStyle name="输出 2 3" xfId="422"/>
    <cellStyle name="输出 2 3 2" xfId="423"/>
    <cellStyle name="输出 2 3_沪苏边界水闸 - 副本" xfId="424"/>
    <cellStyle name="输出 3" xfId="425"/>
    <cellStyle name="输出 3 2" xfId="426"/>
    <cellStyle name="输出 3_沪苏边界水闸 - 副本" xfId="427"/>
    <cellStyle name="输入 2" xfId="428"/>
    <cellStyle name="输入 2 2" xfId="429"/>
    <cellStyle name="输入 2 3" xfId="430"/>
    <cellStyle name="输入 2 3 2" xfId="431"/>
    <cellStyle name="输入 2 3_沪苏边界水闸 - 副本" xfId="432"/>
    <cellStyle name="输入 3" xfId="433"/>
    <cellStyle name="输入 3 2" xfId="434"/>
    <cellStyle name="输入 3_沪苏边界水闸 - 副本" xfId="435"/>
    <cellStyle name="注释 2" xfId="436"/>
    <cellStyle name="注释 2 2" xfId="437"/>
    <cellStyle name="注释 2 3" xfId="438"/>
    <cellStyle name="注释 2 3 2" xfId="439"/>
    <cellStyle name="注释 3" xfId="440"/>
    <cellStyle name="注释 3 2" xfId="44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3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4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5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6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2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7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8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9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10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11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12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13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14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15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16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17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18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19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20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21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22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23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24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25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2823;&#27862;&#28207;&#27010;&#31639;&#26368;&#32456;&#29256;.9.27\&#22823;&#27862;&#28207;&#27010;&#31639;&#246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700;&#21153;&#23616;&#27010;&#31639;&#35780;&#23457;\&#38738;&#28006;&#29615;&#22478;&#27700;&#31995;&#27835;&#29702;&#19968;&#26399;\&#23457;&#26680;\0316&#35843;&#25972;&#31295;&#23457;&#26680;\&#20272;&#31639;&#23457;&#26680;\&#23457;&#26680;2016.4.15\&#65288;0415&#65289;&#38738;&#28006;&#21306;&#29615;&#22478;&#27700;&#31995;&#27835;&#29702;&#19968;&#26399;&#24037;&#31243;&#20272;&#31639;&#34920;.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010;&#31639;&#20462;&#25913;05.6.29\zyj\&#28023;&#28207;&#26032;&#22478;&#20154;&#24037;&#28246;&#24037;&#31243;(D&#28207;&#24310;&#20280;&#27573;&#65289;04.8.23\zyj\&#28023;&#28207;&#26032;&#22478;&#20154;&#24037;&#28246;&#19977;&#26399;&#24320;&#25366;&#24037;&#31243;&#65288;DA01&#23707;&#27700;&#27969;&#36890;&#36947;&#65289;04.7.22\04.8.19&#20462;\zyj\&#26494;&#27743;&#26032;&#22478;&#27784;&#27902;&#22616;&#27827;&#36947;&#25972;&#27835;&#65288;&#19968;&#26399;&#65289;&#24037;&#31243;&#27010;&#31639;03.7.22\&#27010;&#31639;&#24635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BaiduSyncdisk\&#27827;&#28023;&#38498;\&#38389;&#34892;\&#39532;&#26725;&#38215;\&#38632;&#27745;&#27700;&#28151;&#25509;&#25490;&#26597;\&#39033;&#30446;&#25972;&#25913;\&#38632;&#27745;&#28151;&#25509;&#25972;&#25913;\&#31077;&#20113;&#26032;&#22478;\&#31532;2&#31295;\&#31077;&#20113;&#26032;&#22478;202505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估算总表"/>
      <sheetName val="取费"/>
      <sheetName val="拆迁补偿"/>
      <sheetName val="流量监测估算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估算总表 （拆分）"/>
      <sheetName val="估算总对比表 （拆分） "/>
      <sheetName val="估算总表"/>
      <sheetName val="估算总对比表 "/>
      <sheetName val="取费（总表）"/>
      <sheetName val="取费（总表拆分） "/>
      <sheetName val="估算对比表（市级资金） "/>
      <sheetName val="估算表（市级资金）"/>
      <sheetName val="取费（市级资金） "/>
    </sheetNames>
    <sheetDataSet>
      <sheetData sheetId="0" refreshError="1"/>
      <sheetData sheetId="1" refreshError="1"/>
      <sheetData sheetId="2" refreshError="1">
        <row r="3">
          <cell r="E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贷款利息"/>
      <sheetName val="招标代理"/>
      <sheetName val="勘测费"/>
      <sheetName val="设计费"/>
      <sheetName val="费用"/>
      <sheetName val="概算总表03.7.29"/>
      <sheetName val="二期设计费"/>
      <sheetName val="二期费用"/>
      <sheetName val="二期"/>
      <sheetName val="征地拆迁费"/>
      <sheetName val="估算总表"/>
      <sheetName val="取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祥云新城"/>
      <sheetName val="取费1"/>
    </sheetNames>
    <sheetDataSet>
      <sheetData sheetId="0">
        <row r="39">
          <cell r="G39">
            <v>211.774995938921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7"/>
  <sheetViews>
    <sheetView tabSelected="1" workbookViewId="0">
      <pane xSplit="2" ySplit="5" topLeftCell="C11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8" customHeight="1"/>
  <cols>
    <col min="2" max="2" width="30.8" customWidth="1"/>
    <col min="3" max="3" width="7.625" customWidth="1"/>
    <col min="4" max="4" width="9.625" customWidth="1"/>
    <col min="5" max="5" width="10.75" customWidth="1"/>
    <col min="6" max="6" width="12" customWidth="1"/>
    <col min="7" max="7" width="27.375" customWidth="1"/>
    <col min="8" max="8" width="12" hidden="1" customWidth="1"/>
    <col min="9" max="15" width="9" hidden="1" customWidth="1"/>
    <col min="16" max="16" width="10" customWidth="1"/>
    <col min="17" max="26" width="9" customWidth="1"/>
  </cols>
  <sheetData>
    <row r="1" s="188" customFormat="1" ht="26.25" customHeight="1" spans="1:8">
      <c r="A1" s="190" t="s">
        <v>0</v>
      </c>
      <c r="B1" s="191"/>
      <c r="C1" s="191"/>
      <c r="D1" s="191"/>
      <c r="E1" s="192"/>
      <c r="F1" s="192"/>
      <c r="G1" s="191"/>
      <c r="H1" s="193"/>
    </row>
    <row r="2" ht="23.25" customHeight="1" spans="1:8">
      <c r="A2" s="194" t="s">
        <v>1</v>
      </c>
      <c r="B2" s="195"/>
      <c r="C2" s="195"/>
      <c r="D2" s="195"/>
      <c r="E2" s="195"/>
      <c r="F2" s="195"/>
      <c r="G2" s="195"/>
      <c r="H2" s="196"/>
    </row>
    <row r="3" customHeight="1" spans="1:11">
      <c r="A3" s="197" t="s">
        <v>2</v>
      </c>
      <c r="B3" s="197" t="s">
        <v>3</v>
      </c>
      <c r="C3" s="198" t="s">
        <v>4</v>
      </c>
      <c r="D3" s="199"/>
      <c r="E3" s="199"/>
      <c r="F3" s="200"/>
      <c r="G3" s="197" t="s">
        <v>5</v>
      </c>
      <c r="H3" s="196"/>
      <c r="K3" t="e">
        <f>ROUND(#REF!*#REF!/10000,2)</f>
        <v>#REF!</v>
      </c>
    </row>
    <row r="4" ht="28.8" spans="1:11">
      <c r="A4" s="197"/>
      <c r="B4" s="197"/>
      <c r="C4" s="201" t="s">
        <v>6</v>
      </c>
      <c r="D4" s="202" t="s">
        <v>7</v>
      </c>
      <c r="E4" s="202" t="s">
        <v>8</v>
      </c>
      <c r="F4" s="202" t="s">
        <v>9</v>
      </c>
      <c r="G4" s="197"/>
      <c r="H4" s="196"/>
      <c r="K4" t="e">
        <f>SUM(K7:K19)</f>
        <v>#REF!</v>
      </c>
    </row>
    <row r="5" s="188" customFormat="1" ht="21" customHeight="1" spans="1:13">
      <c r="A5" s="203" t="s">
        <v>10</v>
      </c>
      <c r="B5" s="204" t="s">
        <v>11</v>
      </c>
      <c r="C5" s="205"/>
      <c r="D5" s="205"/>
      <c r="E5" s="205"/>
      <c r="F5" s="205">
        <f>F6+F10+F16</f>
        <v>0</v>
      </c>
      <c r="G5" s="203"/>
      <c r="H5" s="193">
        <v>3042.59</v>
      </c>
      <c r="M5" s="237">
        <f>K5-F5</f>
        <v>0</v>
      </c>
    </row>
    <row r="6" s="188" customFormat="1" ht="21" customHeight="1" spans="1:11">
      <c r="A6" s="206" t="s">
        <v>12</v>
      </c>
      <c r="B6" s="207" t="s">
        <v>13</v>
      </c>
      <c r="C6" s="205"/>
      <c r="D6" s="205"/>
      <c r="E6" s="205"/>
      <c r="F6" s="205">
        <f>SUM(F7:F9)</f>
        <v>0</v>
      </c>
      <c r="G6" s="203"/>
      <c r="H6" s="193"/>
      <c r="K6" s="189" t="e">
        <f>ROUND(#REF!*#REF!/10000,2)</f>
        <v>#REF!</v>
      </c>
    </row>
    <row r="7" s="189" customFormat="1" ht="21" customHeight="1" spans="1:13">
      <c r="A7" s="208">
        <v>1.1</v>
      </c>
      <c r="B7" s="209" t="s">
        <v>14</v>
      </c>
      <c r="C7" s="210" t="s">
        <v>15</v>
      </c>
      <c r="D7" s="211">
        <v>250</v>
      </c>
      <c r="E7" s="212"/>
      <c r="F7" s="213">
        <f t="shared" ref="F7:F15" si="0">D7*E7</f>
        <v>0</v>
      </c>
      <c r="G7" s="209" t="s">
        <v>16</v>
      </c>
      <c r="H7" s="196"/>
      <c r="K7" s="189" t="e">
        <f>ROUND(#REF!*#REF!/10000,2)</f>
        <v>#REF!</v>
      </c>
      <c r="M7" s="189" t="e">
        <f>SUM(K7:K19)</f>
        <v>#REF!</v>
      </c>
    </row>
    <row r="8" s="189" customFormat="1" ht="32.1" customHeight="1" spans="1:11">
      <c r="A8" s="208">
        <f>A7+0.1</f>
        <v>1.2</v>
      </c>
      <c r="B8" s="209" t="s">
        <v>17</v>
      </c>
      <c r="C8" s="210" t="s">
        <v>18</v>
      </c>
      <c r="D8" s="211">
        <v>70</v>
      </c>
      <c r="E8" s="212"/>
      <c r="F8" s="213">
        <f t="shared" si="0"/>
        <v>0</v>
      </c>
      <c r="G8" s="209" t="s">
        <v>19</v>
      </c>
      <c r="H8" s="196"/>
      <c r="K8" s="189" t="e">
        <f>ROUND(#REF!*#REF!/10000,2)</f>
        <v>#REF!</v>
      </c>
    </row>
    <row r="9" s="189" customFormat="1" ht="21" customHeight="1" spans="1:11">
      <c r="A9" s="208">
        <f>A8+0.1</f>
        <v>1.3</v>
      </c>
      <c r="B9" s="209" t="s">
        <v>20</v>
      </c>
      <c r="C9" s="208" t="s">
        <v>15</v>
      </c>
      <c r="D9" s="214">
        <v>200</v>
      </c>
      <c r="E9" s="215"/>
      <c r="F9" s="213">
        <f t="shared" si="0"/>
        <v>0</v>
      </c>
      <c r="G9" s="216" t="s">
        <v>21</v>
      </c>
      <c r="H9" s="196"/>
      <c r="K9" s="189" t="e">
        <f>ROUND(#REF!*#REF!/10000,2)</f>
        <v>#REF!</v>
      </c>
    </row>
    <row r="10" s="188" customFormat="1" ht="21" customHeight="1" spans="1:11">
      <c r="A10" s="206" t="s">
        <v>22</v>
      </c>
      <c r="B10" s="207" t="s">
        <v>23</v>
      </c>
      <c r="C10" s="217"/>
      <c r="D10" s="218"/>
      <c r="E10" s="219"/>
      <c r="F10" s="205">
        <f>SUM(F11:F15)</f>
        <v>0</v>
      </c>
      <c r="G10" s="220"/>
      <c r="H10" s="193"/>
      <c r="K10" s="189" t="e">
        <f>ROUND(#REF!*#REF!/10000,2)</f>
        <v>#REF!</v>
      </c>
    </row>
    <row r="11" s="189" customFormat="1" ht="21" customHeight="1" spans="1:11">
      <c r="A11" s="208">
        <v>2.1</v>
      </c>
      <c r="B11" s="209" t="s">
        <v>24</v>
      </c>
      <c r="C11" s="208" t="s">
        <v>15</v>
      </c>
      <c r="D11" s="214">
        <v>150</v>
      </c>
      <c r="E11" s="221"/>
      <c r="F11" s="213">
        <f t="shared" si="0"/>
        <v>0</v>
      </c>
      <c r="G11" s="216" t="s">
        <v>21</v>
      </c>
      <c r="H11" s="196"/>
      <c r="K11" s="189" t="e">
        <f>ROUND(#REF!*#REF!/10000,2)</f>
        <v>#REF!</v>
      </c>
    </row>
    <row r="12" s="189" customFormat="1" ht="21" customHeight="1" spans="1:11">
      <c r="A12" s="208">
        <f t="shared" ref="A12:A13" si="1">A11+0.1</f>
        <v>2.2</v>
      </c>
      <c r="B12" s="209" t="s">
        <v>25</v>
      </c>
      <c r="C12" s="208" t="s">
        <v>15</v>
      </c>
      <c r="D12" s="214">
        <v>150</v>
      </c>
      <c r="E12" s="222"/>
      <c r="F12" s="213">
        <f t="shared" si="0"/>
        <v>0</v>
      </c>
      <c r="G12" s="216" t="s">
        <v>21</v>
      </c>
      <c r="H12" s="196"/>
      <c r="K12" s="189" t="e">
        <f>ROUND(#REF!*#REF!/10000,2)</f>
        <v>#REF!</v>
      </c>
    </row>
    <row r="13" s="189" customFormat="1" ht="21" customHeight="1" spans="1:11">
      <c r="A13" s="208">
        <f t="shared" si="1"/>
        <v>2.3</v>
      </c>
      <c r="B13" s="209" t="s">
        <v>26</v>
      </c>
      <c r="C13" s="208" t="s">
        <v>15</v>
      </c>
      <c r="D13" s="214">
        <v>100</v>
      </c>
      <c r="E13" s="222"/>
      <c r="F13" s="213">
        <f t="shared" si="0"/>
        <v>0</v>
      </c>
      <c r="G13" s="216" t="s">
        <v>21</v>
      </c>
      <c r="H13" s="196"/>
      <c r="K13" s="189" t="e">
        <f>ROUND(#REF!*#REF!/10000,2)</f>
        <v>#REF!</v>
      </c>
    </row>
    <row r="14" s="189" customFormat="1" ht="21" customHeight="1" spans="1:11">
      <c r="A14" s="208">
        <v>2.4</v>
      </c>
      <c r="B14" s="223" t="s">
        <v>27</v>
      </c>
      <c r="C14" s="208" t="s">
        <v>28</v>
      </c>
      <c r="D14" s="214">
        <v>370</v>
      </c>
      <c r="E14" s="222"/>
      <c r="F14" s="213">
        <f t="shared" si="0"/>
        <v>0</v>
      </c>
      <c r="G14" s="216"/>
      <c r="H14" s="196"/>
      <c r="K14" s="189" t="e">
        <f>ROUND(#REF!*#REF!/10000,2)</f>
        <v>#REF!</v>
      </c>
    </row>
    <row r="15" s="189" customFormat="1" ht="21" customHeight="1" spans="1:11">
      <c r="A15" s="208">
        <v>2.5</v>
      </c>
      <c r="B15" s="223" t="s">
        <v>29</v>
      </c>
      <c r="C15" s="208" t="s">
        <v>28</v>
      </c>
      <c r="D15" s="214">
        <v>850</v>
      </c>
      <c r="E15" s="222"/>
      <c r="F15" s="213">
        <f t="shared" si="0"/>
        <v>0</v>
      </c>
      <c r="G15" s="216"/>
      <c r="H15" s="196"/>
      <c r="K15" s="189" t="e">
        <f>ROUND(#REF!*#REF!/10000,2)</f>
        <v>#REF!</v>
      </c>
    </row>
    <row r="16" s="188" customFormat="1" ht="21" customHeight="1" spans="1:11">
      <c r="A16" s="206" t="s">
        <v>30</v>
      </c>
      <c r="B16" s="207" t="s">
        <v>31</v>
      </c>
      <c r="C16" s="217"/>
      <c r="D16" s="218"/>
      <c r="E16" s="219"/>
      <c r="F16" s="205">
        <f>SUM(F17:F19)</f>
        <v>0</v>
      </c>
      <c r="G16" s="220"/>
      <c r="H16" s="193"/>
      <c r="K16" s="189" t="e">
        <f>ROUND(#REF!*#REF!/10000,2)</f>
        <v>#REF!</v>
      </c>
    </row>
    <row r="17" s="189" customFormat="1" ht="21" customHeight="1" spans="1:11">
      <c r="A17" s="208">
        <v>3.1</v>
      </c>
      <c r="B17" s="224" t="s">
        <v>32</v>
      </c>
      <c r="C17" s="208" t="s">
        <v>33</v>
      </c>
      <c r="D17" s="214">
        <f>(D7*0.2+D9+D11+D12)</f>
        <v>550</v>
      </c>
      <c r="E17" s="215"/>
      <c r="F17" s="213">
        <f t="shared" ref="F17:F19" si="2">D17*E17</f>
        <v>0</v>
      </c>
      <c r="G17" s="225"/>
      <c r="H17" s="196"/>
      <c r="K17" s="189" t="e">
        <f>ROUND(#REF!*#REF!/10000,2)</f>
        <v>#REF!</v>
      </c>
    </row>
    <row r="18" s="189" customFormat="1" ht="21" customHeight="1" spans="1:11">
      <c r="A18" s="208">
        <f>A17+0.1</f>
        <v>3.2</v>
      </c>
      <c r="B18" s="224" t="s">
        <v>34</v>
      </c>
      <c r="C18" s="208" t="s">
        <v>33</v>
      </c>
      <c r="D18" s="214">
        <f>D7*0.8</f>
        <v>200</v>
      </c>
      <c r="E18" s="226"/>
      <c r="F18" s="213">
        <f t="shared" si="2"/>
        <v>0</v>
      </c>
      <c r="G18" s="225"/>
      <c r="H18" s="196"/>
      <c r="K18" s="189" t="e">
        <f>ROUND(#REF!*#REF!/10000,2)</f>
        <v>#REF!</v>
      </c>
    </row>
    <row r="19" s="189" customFormat="1" ht="21" customHeight="1" spans="1:11">
      <c r="A19" s="208">
        <f>A18+0.1</f>
        <v>3.3</v>
      </c>
      <c r="B19" s="227" t="s">
        <v>35</v>
      </c>
      <c r="C19" s="208" t="s">
        <v>15</v>
      </c>
      <c r="D19" s="214">
        <v>15000</v>
      </c>
      <c r="E19" s="226"/>
      <c r="F19" s="213">
        <f t="shared" si="2"/>
        <v>0</v>
      </c>
      <c r="G19" s="197"/>
      <c r="H19" s="196"/>
      <c r="K19" s="189" t="e">
        <f>ROUND(#REF!*#REF!/10000,2)</f>
        <v>#REF!</v>
      </c>
    </row>
    <row r="20" ht="21" customHeight="1" spans="1:11">
      <c r="A20" s="228"/>
      <c r="B20" s="229"/>
      <c r="C20" s="230"/>
      <c r="D20" s="230"/>
      <c r="E20" s="230"/>
      <c r="F20" s="231"/>
      <c r="G20" s="203"/>
      <c r="H20" s="232" t="e">
        <f>F5+#REF!+#REF!-#REF!</f>
        <v>#REF!</v>
      </c>
      <c r="K20" s="189" t="e">
        <f>ROUND(#REF!*#REF!/10000,2)</f>
        <v>#REF!</v>
      </c>
    </row>
    <row r="21" customHeight="1" spans="1:8">
      <c r="A21" s="233"/>
      <c r="B21" s="233"/>
      <c r="C21" s="233"/>
      <c r="D21" s="233"/>
      <c r="E21" s="233"/>
      <c r="F21" s="233"/>
      <c r="G21" s="233"/>
      <c r="H21" t="s">
        <v>36</v>
      </c>
    </row>
    <row r="22" customHeight="1" spans="1:7">
      <c r="A22" s="233"/>
      <c r="B22" s="233"/>
      <c r="C22" s="233"/>
      <c r="D22" s="233"/>
      <c r="E22" s="233"/>
      <c r="F22" s="234"/>
      <c r="G22" s="233"/>
    </row>
    <row r="23" customHeight="1" spans="1:6">
      <c r="A23" s="233"/>
      <c r="B23" s="233"/>
      <c r="C23" s="233"/>
      <c r="D23" s="233"/>
      <c r="E23" s="235"/>
      <c r="F23" s="235"/>
    </row>
    <row r="24" customHeight="1" spans="1:7">
      <c r="A24" s="233"/>
      <c r="B24" s="233"/>
      <c r="C24" s="233"/>
      <c r="D24" s="233"/>
      <c r="E24" s="235"/>
      <c r="F24" s="235"/>
      <c r="G24" s="233"/>
    </row>
    <row r="25" customHeight="1" spans="1:7">
      <c r="A25" s="233"/>
      <c r="B25" s="233"/>
      <c r="C25" s="233"/>
      <c r="D25" s="233"/>
      <c r="E25" s="233"/>
      <c r="F25" s="236"/>
      <c r="G25" s="233"/>
    </row>
    <row r="26" customHeight="1" spans="1:7">
      <c r="A26" s="233"/>
      <c r="B26" s="233"/>
      <c r="C26" s="233"/>
      <c r="D26" s="233"/>
      <c r="E26" s="233"/>
      <c r="F26" s="233"/>
      <c r="G26" s="233"/>
    </row>
    <row r="27" customHeight="1" spans="1:7">
      <c r="A27" s="233"/>
      <c r="B27" s="233"/>
      <c r="C27" s="233"/>
      <c r="D27" s="233"/>
      <c r="E27" s="233"/>
      <c r="F27" s="233"/>
      <c r="G27" s="233"/>
    </row>
  </sheetData>
  <mergeCells count="6">
    <mergeCell ref="A1:G1"/>
    <mergeCell ref="A2:G2"/>
    <mergeCell ref="C3:F3"/>
    <mergeCell ref="A3:A4"/>
    <mergeCell ref="B3:B4"/>
    <mergeCell ref="G3:G4"/>
  </mergeCells>
  <printOptions horizontalCentered="1"/>
  <pageMargins left="0.708333333333333" right="0.708333333333333" top="0.747916666666667" bottom="0.747916666666667" header="0.314583333333333" footer="0.31458333333333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T140"/>
  <sheetViews>
    <sheetView zoomScale="106" zoomScaleNormal="106" topLeftCell="A23" workbookViewId="0">
      <selection activeCell="C37" sqref="C37"/>
    </sheetView>
  </sheetViews>
  <sheetFormatPr defaultColWidth="9" defaultRowHeight="15.6"/>
  <cols>
    <col min="121" max="121" width="17.5" customWidth="1"/>
  </cols>
  <sheetData>
    <row r="1" ht="17.4" spans="1:121">
      <c r="A1" s="1" t="s">
        <v>37</v>
      </c>
      <c r="B1" s="1"/>
      <c r="C1" s="1"/>
      <c r="D1" s="1"/>
      <c r="E1" s="1"/>
      <c r="F1" s="1"/>
      <c r="G1" s="1"/>
      <c r="H1" s="1" t="s">
        <v>37</v>
      </c>
      <c r="I1" s="1"/>
      <c r="J1" s="1"/>
      <c r="K1" s="1"/>
      <c r="L1" s="1"/>
      <c r="M1" s="1"/>
      <c r="N1" s="1"/>
      <c r="O1" s="1" t="s">
        <v>37</v>
      </c>
      <c r="P1" s="1"/>
      <c r="Q1" s="1"/>
      <c r="R1" s="1"/>
      <c r="S1" s="1"/>
      <c r="T1" s="1"/>
      <c r="U1" s="1"/>
      <c r="V1" s="38"/>
      <c r="W1" s="1" t="s">
        <v>38</v>
      </c>
      <c r="X1" s="1"/>
      <c r="Y1" s="1"/>
      <c r="Z1" s="1"/>
      <c r="AA1" s="1"/>
      <c r="AB1" s="1"/>
      <c r="AC1" s="1" t="s">
        <v>38</v>
      </c>
      <c r="AD1" s="1"/>
      <c r="AE1" s="1"/>
      <c r="AF1" s="1"/>
      <c r="AG1" s="1"/>
      <c r="AH1" s="1"/>
      <c r="AI1" s="1" t="s">
        <v>38</v>
      </c>
      <c r="AJ1" s="1"/>
      <c r="AK1" s="1"/>
      <c r="AL1" s="1"/>
      <c r="AM1" s="1"/>
      <c r="AN1" s="1"/>
      <c r="AO1" s="38"/>
      <c r="AP1" s="47" t="s">
        <v>39</v>
      </c>
      <c r="AQ1" s="1"/>
      <c r="AR1" s="1"/>
      <c r="AS1" s="1"/>
      <c r="AT1" s="1"/>
      <c r="AU1" s="1"/>
      <c r="AV1" s="1"/>
      <c r="AW1" s="47" t="s">
        <v>39</v>
      </c>
      <c r="AX1" s="1"/>
      <c r="AY1" s="1"/>
      <c r="AZ1" s="1"/>
      <c r="BA1" s="1"/>
      <c r="BB1" s="1"/>
      <c r="BC1" s="1"/>
      <c r="BD1" s="47" t="s">
        <v>39</v>
      </c>
      <c r="BE1" s="1"/>
      <c r="BF1" s="1"/>
      <c r="BG1" s="1"/>
      <c r="BH1" s="1"/>
      <c r="BI1" s="1"/>
      <c r="BJ1" s="1"/>
      <c r="BK1" s="1"/>
      <c r="BL1" s="47" t="s">
        <v>40</v>
      </c>
      <c r="BM1" s="1"/>
      <c r="BN1" s="1"/>
      <c r="BO1" s="1"/>
      <c r="BP1" s="1"/>
      <c r="BQ1" s="1"/>
      <c r="BR1" s="38"/>
      <c r="BS1" s="47" t="s">
        <v>41</v>
      </c>
      <c r="BT1" s="1"/>
      <c r="BU1" s="1"/>
      <c r="BV1" s="1"/>
      <c r="BW1" s="93"/>
      <c r="BX1" s="94" t="s">
        <v>42</v>
      </c>
      <c r="BY1" s="95"/>
      <c r="BZ1" s="1"/>
      <c r="CA1" s="1"/>
      <c r="CB1" s="1"/>
      <c r="CC1" s="47" t="s">
        <v>43</v>
      </c>
      <c r="CD1" s="1"/>
      <c r="CE1" s="1"/>
      <c r="CF1" s="1"/>
      <c r="CG1" s="1"/>
      <c r="CH1" s="38"/>
      <c r="CI1" s="1" t="s">
        <v>44</v>
      </c>
      <c r="CJ1" s="1"/>
      <c r="CK1" s="1"/>
      <c r="CL1" s="1"/>
      <c r="CM1" s="1"/>
      <c r="CN1" s="1"/>
      <c r="CO1" s="1"/>
      <c r="CP1" s="1" t="s">
        <v>44</v>
      </c>
      <c r="CQ1" s="1"/>
      <c r="CR1" s="1"/>
      <c r="CS1" s="1"/>
      <c r="CT1" s="1"/>
      <c r="CU1" s="1"/>
      <c r="CV1" s="1"/>
      <c r="CW1" s="1" t="s">
        <v>44</v>
      </c>
      <c r="CX1" s="1"/>
      <c r="CY1" s="1"/>
      <c r="CZ1" s="1"/>
      <c r="DA1" s="1"/>
      <c r="DB1" s="1"/>
      <c r="DC1" s="1"/>
      <c r="DD1" s="38"/>
      <c r="DE1" s="38"/>
      <c r="DF1" s="37" t="s">
        <v>10</v>
      </c>
      <c r="DG1" s="38" t="s">
        <v>45</v>
      </c>
      <c r="DH1" s="38"/>
      <c r="DI1" s="38"/>
      <c r="DJ1" s="38"/>
      <c r="DL1" s="131" t="s">
        <v>46</v>
      </c>
      <c r="DM1" s="131"/>
      <c r="DN1" s="131"/>
      <c r="DO1" s="131"/>
      <c r="DP1" s="131"/>
      <c r="DQ1" s="131"/>
    </row>
    <row r="2" ht="36" spans="1:121">
      <c r="A2" s="2"/>
      <c r="B2" s="1"/>
      <c r="C2" s="1"/>
      <c r="D2" s="1"/>
      <c r="E2" s="1"/>
      <c r="F2" s="3" t="s">
        <v>47</v>
      </c>
      <c r="G2" s="3"/>
      <c r="H2" s="2"/>
      <c r="I2" s="1"/>
      <c r="J2" s="1"/>
      <c r="K2" s="1"/>
      <c r="L2" s="1"/>
      <c r="M2" s="3" t="s">
        <v>48</v>
      </c>
      <c r="N2" s="3"/>
      <c r="O2" s="2"/>
      <c r="P2" s="1"/>
      <c r="Q2" s="1"/>
      <c r="R2" s="1"/>
      <c r="S2" s="1"/>
      <c r="T2" s="3" t="s">
        <v>49</v>
      </c>
      <c r="U2" s="3"/>
      <c r="V2" s="38"/>
      <c r="W2" s="1"/>
      <c r="X2" s="1"/>
      <c r="Y2" s="1"/>
      <c r="Z2" s="1"/>
      <c r="AA2" s="1"/>
      <c r="AB2" s="3" t="s">
        <v>47</v>
      </c>
      <c r="AC2" s="1"/>
      <c r="AD2" s="1"/>
      <c r="AE2" s="1"/>
      <c r="AF2" s="1"/>
      <c r="AG2" s="1"/>
      <c r="AH2" s="3" t="s">
        <v>48</v>
      </c>
      <c r="AI2" s="1"/>
      <c r="AJ2" s="1"/>
      <c r="AK2" s="1"/>
      <c r="AL2" s="1"/>
      <c r="AM2" s="1"/>
      <c r="AN2" s="3" t="s">
        <v>49</v>
      </c>
      <c r="AO2" s="37"/>
      <c r="AP2" s="1"/>
      <c r="AQ2" s="1"/>
      <c r="AR2" s="1"/>
      <c r="AS2" s="1"/>
      <c r="AT2" s="1"/>
      <c r="AU2" s="1"/>
      <c r="AV2" s="3" t="s">
        <v>47</v>
      </c>
      <c r="AW2" s="1"/>
      <c r="AX2" s="1"/>
      <c r="AY2" s="1"/>
      <c r="AZ2" s="1"/>
      <c r="BA2" s="1"/>
      <c r="BB2" s="1"/>
      <c r="BC2" s="3" t="s">
        <v>48</v>
      </c>
      <c r="BD2" s="1"/>
      <c r="BE2" s="1"/>
      <c r="BF2" s="1"/>
      <c r="BG2" s="1"/>
      <c r="BH2" s="1"/>
      <c r="BI2" s="1"/>
      <c r="BJ2" s="3" t="s">
        <v>49</v>
      </c>
      <c r="BK2" s="64"/>
      <c r="BL2" s="65" t="s">
        <v>50</v>
      </c>
      <c r="BM2" s="65"/>
      <c r="BN2" s="65"/>
      <c r="BO2" s="65"/>
      <c r="BP2" s="65"/>
      <c r="BQ2" s="65"/>
      <c r="BR2" s="38"/>
      <c r="BS2" s="74" t="s">
        <v>51</v>
      </c>
      <c r="BT2" s="74"/>
      <c r="BU2" s="74"/>
      <c r="BV2" s="74"/>
      <c r="BW2" s="74"/>
      <c r="BX2" s="74" t="s">
        <v>51</v>
      </c>
      <c r="BY2" s="74"/>
      <c r="BZ2" s="74"/>
      <c r="CA2" s="74"/>
      <c r="CB2" s="74"/>
      <c r="CC2" s="74" t="s">
        <v>51</v>
      </c>
      <c r="CD2" s="74"/>
      <c r="CE2" s="74"/>
      <c r="CF2" s="74"/>
      <c r="CG2" s="74"/>
      <c r="CH2" s="38"/>
      <c r="CI2" s="38"/>
      <c r="CJ2" s="38"/>
      <c r="CK2" s="38"/>
      <c r="CL2" s="38"/>
      <c r="CM2" s="38"/>
      <c r="CN2" s="38"/>
      <c r="CO2" s="3" t="s">
        <v>47</v>
      </c>
      <c r="CP2" s="38"/>
      <c r="CQ2" s="38"/>
      <c r="CR2" s="38"/>
      <c r="CS2" s="38"/>
      <c r="CT2" s="38"/>
      <c r="CU2" s="38"/>
      <c r="CV2" s="3" t="s">
        <v>48</v>
      </c>
      <c r="CW2" s="38"/>
      <c r="CX2" s="38"/>
      <c r="CY2" s="38"/>
      <c r="CZ2" s="38"/>
      <c r="DA2" s="38"/>
      <c r="DB2" s="38"/>
      <c r="DC2" s="3" t="s">
        <v>49</v>
      </c>
      <c r="DD2" s="38"/>
      <c r="DE2" s="38"/>
      <c r="DF2" s="106" t="s">
        <v>2</v>
      </c>
      <c r="DG2" s="122" t="s">
        <v>52</v>
      </c>
      <c r="DH2" s="122" t="s">
        <v>53</v>
      </c>
      <c r="DI2" s="122" t="s">
        <v>54</v>
      </c>
      <c r="DJ2" s="132" t="s">
        <v>55</v>
      </c>
      <c r="DL2" s="65" t="s">
        <v>56</v>
      </c>
      <c r="DM2" s="65"/>
      <c r="DN2" s="65"/>
      <c r="DO2" s="65"/>
      <c r="DP2" s="65"/>
      <c r="DQ2" s="65"/>
    </row>
    <row r="3" spans="1:121">
      <c r="A3" s="4" t="s">
        <v>57</v>
      </c>
      <c r="B3" s="5"/>
      <c r="C3" s="5"/>
      <c r="D3" s="5"/>
      <c r="E3" s="5"/>
      <c r="F3" s="5" t="s">
        <v>58</v>
      </c>
      <c r="G3" s="6" t="s">
        <v>59</v>
      </c>
      <c r="H3" s="4"/>
      <c r="I3" s="5"/>
      <c r="J3" s="5"/>
      <c r="K3" s="5"/>
      <c r="L3" s="5"/>
      <c r="M3" s="5" t="s">
        <v>60</v>
      </c>
      <c r="N3" s="6" t="s">
        <v>61</v>
      </c>
      <c r="O3" s="4" t="s">
        <v>57</v>
      </c>
      <c r="P3" s="5"/>
      <c r="Q3" s="5"/>
      <c r="R3" s="5"/>
      <c r="S3" s="5"/>
      <c r="T3" s="5" t="s">
        <v>62</v>
      </c>
      <c r="U3" s="6" t="s">
        <v>63</v>
      </c>
      <c r="V3" s="38"/>
      <c r="W3" s="4" t="s">
        <v>57</v>
      </c>
      <c r="X3" s="5"/>
      <c r="Y3" s="5"/>
      <c r="Z3" s="5"/>
      <c r="AA3" s="5"/>
      <c r="AB3" s="43"/>
      <c r="AC3" s="4" t="s">
        <v>57</v>
      </c>
      <c r="AD3" s="5"/>
      <c r="AE3" s="5"/>
      <c r="AF3" s="5"/>
      <c r="AG3" s="5"/>
      <c r="AH3" s="43">
        <v>0</v>
      </c>
      <c r="AI3" s="4" t="s">
        <v>57</v>
      </c>
      <c r="AJ3" s="5"/>
      <c r="AK3" s="5"/>
      <c r="AL3" s="5"/>
      <c r="AM3" s="5"/>
      <c r="AN3" s="43"/>
      <c r="AO3" s="38"/>
      <c r="AP3" s="4" t="s">
        <v>64</v>
      </c>
      <c r="AQ3" s="5"/>
      <c r="AR3" s="5"/>
      <c r="AS3" s="5"/>
      <c r="AT3" s="5"/>
      <c r="AU3" s="5"/>
      <c r="AV3" s="48">
        <f>G4</f>
        <v>0</v>
      </c>
      <c r="AW3" s="4" t="s">
        <v>64</v>
      </c>
      <c r="AX3" s="5"/>
      <c r="AY3" s="5"/>
      <c r="AZ3" s="5"/>
      <c r="BA3" s="5"/>
      <c r="BB3" s="5"/>
      <c r="BC3" s="48">
        <f>AV3</f>
        <v>0</v>
      </c>
      <c r="BD3" s="4" t="s">
        <v>64</v>
      </c>
      <c r="BE3" s="5"/>
      <c r="BF3" s="5"/>
      <c r="BG3" s="5"/>
      <c r="BH3" s="5"/>
      <c r="BI3" s="5"/>
      <c r="BJ3" s="48">
        <f>BC3</f>
        <v>0</v>
      </c>
      <c r="BK3" s="66"/>
      <c r="BL3" s="67" t="s">
        <v>65</v>
      </c>
      <c r="BM3" s="67"/>
      <c r="BN3" s="67"/>
      <c r="BO3" s="67"/>
      <c r="BP3" s="67"/>
      <c r="BQ3" s="75" t="e">
        <f>C37</f>
        <v>#REF!</v>
      </c>
      <c r="BR3" s="38"/>
      <c r="BS3" s="76"/>
      <c r="BT3" s="77" t="s">
        <v>66</v>
      </c>
      <c r="BU3" s="77" t="s">
        <v>67</v>
      </c>
      <c r="BV3" s="77" t="s">
        <v>68</v>
      </c>
      <c r="BW3" s="96" t="s">
        <v>69</v>
      </c>
      <c r="BX3" s="76"/>
      <c r="BY3" s="77" t="s">
        <v>66</v>
      </c>
      <c r="BZ3" s="77" t="s">
        <v>67</v>
      </c>
      <c r="CA3" s="77" t="s">
        <v>68</v>
      </c>
      <c r="CB3" s="96" t="s">
        <v>70</v>
      </c>
      <c r="CC3" s="76"/>
      <c r="CD3" s="77" t="s">
        <v>66</v>
      </c>
      <c r="CE3" s="77" t="s">
        <v>67</v>
      </c>
      <c r="CF3" s="77" t="s">
        <v>68</v>
      </c>
      <c r="CG3" s="96" t="s">
        <v>70</v>
      </c>
      <c r="CH3" s="38"/>
      <c r="CI3" s="106" t="s">
        <v>71</v>
      </c>
      <c r="CJ3" s="107" t="s">
        <v>72</v>
      </c>
      <c r="CK3" s="107" t="s">
        <v>73</v>
      </c>
      <c r="CL3" s="107" t="s">
        <v>74</v>
      </c>
      <c r="CM3" s="107" t="s">
        <v>75</v>
      </c>
      <c r="CN3" s="107" t="s">
        <v>76</v>
      </c>
      <c r="CO3" s="115" t="s">
        <v>77</v>
      </c>
      <c r="CP3" s="106" t="s">
        <v>71</v>
      </c>
      <c r="CQ3" s="107" t="s">
        <v>72</v>
      </c>
      <c r="CR3" s="107" t="s">
        <v>73</v>
      </c>
      <c r="CS3" s="107" t="s">
        <v>74</v>
      </c>
      <c r="CT3" s="107" t="s">
        <v>75</v>
      </c>
      <c r="CU3" s="107" t="s">
        <v>78</v>
      </c>
      <c r="CV3" s="115" t="s">
        <v>77</v>
      </c>
      <c r="CW3" s="106" t="s">
        <v>71</v>
      </c>
      <c r="CX3" s="107" t="s">
        <v>72</v>
      </c>
      <c r="CY3" s="107" t="s">
        <v>73</v>
      </c>
      <c r="CZ3" s="107" t="s">
        <v>74</v>
      </c>
      <c r="DA3" s="107" t="s">
        <v>75</v>
      </c>
      <c r="DB3" s="107" t="s">
        <v>78</v>
      </c>
      <c r="DC3" s="115" t="s">
        <v>77</v>
      </c>
      <c r="DD3" s="38"/>
      <c r="DE3" s="38"/>
      <c r="DF3" s="13">
        <v>2</v>
      </c>
      <c r="DG3" s="17">
        <v>500</v>
      </c>
      <c r="DH3" s="22">
        <v>0.025</v>
      </c>
      <c r="DI3" s="133" t="e">
        <f>SUM([1]估算总表!CG5)</f>
        <v>#REF!</v>
      </c>
      <c r="DJ3" s="134" t="e">
        <f>DH3-(DI3-DG3)*(DH3-DH4)/(DG4-DG3)</f>
        <v>#REF!</v>
      </c>
      <c r="DL3" s="135" t="s">
        <v>57</v>
      </c>
      <c r="DM3" s="135"/>
      <c r="DN3" s="135"/>
      <c r="DO3" s="135"/>
      <c r="DP3" s="135"/>
      <c r="DQ3" s="160" t="e">
        <f>CO106</f>
        <v>#REF!</v>
      </c>
    </row>
    <row r="4" ht="17.4" spans="1:121">
      <c r="A4" s="7"/>
      <c r="B4" s="8"/>
      <c r="C4" s="8"/>
      <c r="D4" s="8"/>
      <c r="E4" s="8"/>
      <c r="F4" s="9"/>
      <c r="G4" s="10">
        <f>C35</f>
        <v>0</v>
      </c>
      <c r="H4" s="7"/>
      <c r="I4" s="8"/>
      <c r="J4" s="8"/>
      <c r="K4" s="8"/>
      <c r="L4" s="8"/>
      <c r="M4" s="9"/>
      <c r="N4" s="10"/>
      <c r="O4" s="7"/>
      <c r="P4" s="8"/>
      <c r="Q4" s="8"/>
      <c r="R4" s="8"/>
      <c r="S4" s="8"/>
      <c r="T4" s="41"/>
      <c r="U4" s="42"/>
      <c r="V4" s="39"/>
      <c r="W4" s="7" t="s">
        <v>79</v>
      </c>
      <c r="X4" s="8"/>
      <c r="Y4" s="8"/>
      <c r="Z4" s="8"/>
      <c r="AA4" s="8"/>
      <c r="AB4" s="44">
        <f>AB26*AB27*AB28*AB29</f>
        <v>0</v>
      </c>
      <c r="AC4" s="7" t="s">
        <v>79</v>
      </c>
      <c r="AD4" s="8"/>
      <c r="AE4" s="8"/>
      <c r="AF4" s="8"/>
      <c r="AG4" s="8"/>
      <c r="AH4" s="44">
        <f>AH26*AH27*AH28*AH29</f>
        <v>0</v>
      </c>
      <c r="AI4" s="7" t="s">
        <v>79</v>
      </c>
      <c r="AJ4" s="8"/>
      <c r="AK4" s="8"/>
      <c r="AL4" s="8"/>
      <c r="AM4" s="8"/>
      <c r="AN4" s="44">
        <f>AN26*AN27*AN28*AN29</f>
        <v>0</v>
      </c>
      <c r="AO4" s="38"/>
      <c r="AP4" s="13" t="s">
        <v>2</v>
      </c>
      <c r="AQ4" s="15" t="s">
        <v>80</v>
      </c>
      <c r="AR4" s="15"/>
      <c r="AS4" s="15" t="s">
        <v>81</v>
      </c>
      <c r="AT4" s="15"/>
      <c r="AU4" s="14" t="s">
        <v>82</v>
      </c>
      <c r="AV4" s="49" t="s">
        <v>83</v>
      </c>
      <c r="AW4" s="13" t="s">
        <v>2</v>
      </c>
      <c r="AX4" s="15" t="s">
        <v>80</v>
      </c>
      <c r="AY4" s="15"/>
      <c r="AZ4" s="15" t="s">
        <v>81</v>
      </c>
      <c r="BA4" s="15"/>
      <c r="BB4" s="14" t="s">
        <v>82</v>
      </c>
      <c r="BC4" s="49" t="s">
        <v>83</v>
      </c>
      <c r="BD4" s="13" t="s">
        <v>2</v>
      </c>
      <c r="BE4" s="15" t="s">
        <v>80</v>
      </c>
      <c r="BF4" s="15"/>
      <c r="BG4" s="15" t="s">
        <v>81</v>
      </c>
      <c r="BH4" s="15"/>
      <c r="BI4" s="14" t="s">
        <v>82</v>
      </c>
      <c r="BJ4" s="49" t="s">
        <v>83</v>
      </c>
      <c r="BK4" s="68"/>
      <c r="BL4" s="69" t="s">
        <v>2</v>
      </c>
      <c r="BM4" s="69" t="s">
        <v>84</v>
      </c>
      <c r="BN4" s="69"/>
      <c r="BO4" s="69" t="s">
        <v>85</v>
      </c>
      <c r="BP4" s="69"/>
      <c r="BQ4" s="78" t="s">
        <v>86</v>
      </c>
      <c r="BR4" s="38"/>
      <c r="BS4" s="79"/>
      <c r="BT4" s="80">
        <v>1000</v>
      </c>
      <c r="BU4" s="97">
        <v>0.0014</v>
      </c>
      <c r="BV4" s="18" t="e">
        <f>IF((BW4-BT4)&gt;0,BT4*BU4,BW4*BU4)</f>
        <v>#REF!</v>
      </c>
      <c r="BW4" s="98" t="e">
        <f>BQ3</f>
        <v>#REF!</v>
      </c>
      <c r="BX4" s="79"/>
      <c r="BY4" s="80">
        <v>1000</v>
      </c>
      <c r="BZ4" s="97">
        <v>0.0042</v>
      </c>
      <c r="CA4" s="18">
        <f>IF((CB4-BY4)&gt;0,BY4*BZ4,CB4*BZ4)</f>
        <v>0</v>
      </c>
      <c r="CB4" s="98">
        <f>BW90</f>
        <v>0</v>
      </c>
      <c r="CC4" s="79"/>
      <c r="CD4" s="17">
        <v>100</v>
      </c>
      <c r="CE4" s="22">
        <v>0.01</v>
      </c>
      <c r="CF4" s="18">
        <f>IF((CG4-CD4)&gt;0,CD4*CE4,CG4*CE4)</f>
        <v>0</v>
      </c>
      <c r="CG4" s="98">
        <f>CB4</f>
        <v>0</v>
      </c>
      <c r="CH4" s="38"/>
      <c r="CI4" s="79" t="s">
        <v>87</v>
      </c>
      <c r="CJ4" s="18" t="e">
        <f>#N/A</f>
        <v>#N/A</v>
      </c>
      <c r="CK4" s="18" t="e">
        <f>#N/A</f>
        <v>#N/A</v>
      </c>
      <c r="CL4" s="18" t="e">
        <f>#N/A</f>
        <v>#N/A</v>
      </c>
      <c r="CM4" s="18" t="e">
        <f>$CO$4*10%</f>
        <v>#REF!</v>
      </c>
      <c r="CN4" s="18" t="e">
        <f>$CO$4*10%</f>
        <v>#REF!</v>
      </c>
      <c r="CO4" s="19" t="e">
        <f>[2]估算总表!#REF!</f>
        <v>#REF!</v>
      </c>
      <c r="CP4" s="79" t="s">
        <v>87</v>
      </c>
      <c r="CQ4" s="18" t="e">
        <f>#N/A</f>
        <v>#N/A</v>
      </c>
      <c r="CR4" s="18" t="e">
        <f>#N/A</f>
        <v>#N/A</v>
      </c>
      <c r="CS4" s="18" t="e">
        <f>#N/A</f>
        <v>#N/A</v>
      </c>
      <c r="CT4" s="18" t="e">
        <f>#N/A</f>
        <v>#N/A</v>
      </c>
      <c r="CU4" s="15" t="s">
        <v>78</v>
      </c>
      <c r="CV4" s="19">
        <v>0</v>
      </c>
      <c r="CW4" s="79" t="s">
        <v>87</v>
      </c>
      <c r="CX4" s="18" t="e">
        <f>#N/A</f>
        <v>#N/A</v>
      </c>
      <c r="CY4" s="18" t="e">
        <f>#N/A</f>
        <v>#N/A</v>
      </c>
      <c r="CZ4" s="18" t="e">
        <f>#N/A</f>
        <v>#N/A</v>
      </c>
      <c r="DA4" s="18" t="e">
        <f>#N/A</f>
        <v>#N/A</v>
      </c>
      <c r="DB4" s="15" t="s">
        <v>78</v>
      </c>
      <c r="DC4" s="19">
        <v>0</v>
      </c>
      <c r="DD4" s="38"/>
      <c r="DE4" s="38"/>
      <c r="DF4" s="13">
        <v>3</v>
      </c>
      <c r="DG4" s="17">
        <v>1000</v>
      </c>
      <c r="DH4" s="123">
        <v>0.02</v>
      </c>
      <c r="DI4" s="133" t="e">
        <f>SUM([1]估算总表!CG5)</f>
        <v>#REF!</v>
      </c>
      <c r="DJ4" s="134" t="e">
        <f>DH4-(DI4-DG4)*(DH4-DH5)/(DG5-DG4)</f>
        <v>#REF!</v>
      </c>
      <c r="DL4" s="136" t="s">
        <v>88</v>
      </c>
      <c r="DM4" s="136"/>
      <c r="DN4" s="136"/>
      <c r="DO4" s="136"/>
      <c r="DP4" s="136"/>
      <c r="DQ4" s="161" t="e">
        <f>DQ26</f>
        <v>#REF!</v>
      </c>
    </row>
    <row r="5" spans="1:121">
      <c r="A5" s="7" t="s">
        <v>89</v>
      </c>
      <c r="B5" s="8"/>
      <c r="C5" s="8"/>
      <c r="D5" s="8"/>
      <c r="E5" s="8"/>
      <c r="F5" s="11">
        <f>F27*F28*F29*F30*F31*(1-F32)</f>
        <v>0</v>
      </c>
      <c r="G5" s="12">
        <f>G27*G28*G29*G30*G31*(1-G32)</f>
        <v>0</v>
      </c>
      <c r="H5" s="7" t="s">
        <v>89</v>
      </c>
      <c r="I5" s="8"/>
      <c r="J5" s="8"/>
      <c r="K5" s="8"/>
      <c r="L5" s="8"/>
      <c r="M5" s="11">
        <f>M27*M28*M29*M30*M31</f>
        <v>0</v>
      </c>
      <c r="N5" s="12">
        <f>N27*N28*N29*N30*N31</f>
        <v>0</v>
      </c>
      <c r="O5" s="7" t="s">
        <v>89</v>
      </c>
      <c r="P5" s="8"/>
      <c r="Q5" s="8"/>
      <c r="R5" s="8"/>
      <c r="S5" s="8"/>
      <c r="T5" s="11">
        <f>T27*T28*T29*T30*T31*(1-T32)</f>
        <v>0</v>
      </c>
      <c r="U5" s="12">
        <f>U27*U28*U29*U30*U31*(1-U32)</f>
        <v>0</v>
      </c>
      <c r="V5" s="39"/>
      <c r="W5" s="13" t="s">
        <v>2</v>
      </c>
      <c r="X5" s="14" t="s">
        <v>90</v>
      </c>
      <c r="Y5" s="14"/>
      <c r="Z5" s="14" t="s">
        <v>91</v>
      </c>
      <c r="AA5" s="14"/>
      <c r="AB5" s="16" t="s">
        <v>92</v>
      </c>
      <c r="AC5" s="13" t="s">
        <v>2</v>
      </c>
      <c r="AD5" s="14" t="s">
        <v>90</v>
      </c>
      <c r="AE5" s="14"/>
      <c r="AF5" s="14" t="s">
        <v>91</v>
      </c>
      <c r="AG5" s="14"/>
      <c r="AH5" s="16" t="s">
        <v>92</v>
      </c>
      <c r="AI5" s="13" t="s">
        <v>2</v>
      </c>
      <c r="AJ5" s="14" t="s">
        <v>90</v>
      </c>
      <c r="AK5" s="14"/>
      <c r="AL5" s="14" t="s">
        <v>91</v>
      </c>
      <c r="AM5" s="14"/>
      <c r="AN5" s="16" t="s">
        <v>92</v>
      </c>
      <c r="AO5" s="38"/>
      <c r="AP5" s="13"/>
      <c r="AQ5" s="15" t="s">
        <v>93</v>
      </c>
      <c r="AR5" s="15"/>
      <c r="AS5" s="15" t="s">
        <v>94</v>
      </c>
      <c r="AT5" s="15"/>
      <c r="AU5" s="15"/>
      <c r="AV5" s="16"/>
      <c r="AW5" s="13"/>
      <c r="AX5" s="15" t="s">
        <v>93</v>
      </c>
      <c r="AY5" s="15"/>
      <c r="AZ5" s="15" t="s">
        <v>94</v>
      </c>
      <c r="BA5" s="15"/>
      <c r="BB5" s="15"/>
      <c r="BC5" s="16"/>
      <c r="BD5" s="13"/>
      <c r="BE5" s="15" t="s">
        <v>93</v>
      </c>
      <c r="BF5" s="15"/>
      <c r="BG5" s="15" t="s">
        <v>94</v>
      </c>
      <c r="BH5" s="15"/>
      <c r="BI5" s="15"/>
      <c r="BJ5" s="16"/>
      <c r="BK5" s="70"/>
      <c r="BL5" s="69"/>
      <c r="BM5" s="69" t="s">
        <v>95</v>
      </c>
      <c r="BN5" s="69"/>
      <c r="BO5" s="69" t="s">
        <v>96</v>
      </c>
      <c r="BP5" s="69"/>
      <c r="BQ5" s="69"/>
      <c r="BR5" s="38"/>
      <c r="BS5" s="79"/>
      <c r="BT5" s="80">
        <v>3000</v>
      </c>
      <c r="BU5" s="97">
        <v>0.00126</v>
      </c>
      <c r="BV5" s="18" t="e">
        <f>IF((BW4-BT5)&gt;0,(BT5-BT4)*BU5,IF((BW4-BT4)*BU5&gt;0,(BW4-BT4)*BU5,0))</f>
        <v>#REF!</v>
      </c>
      <c r="BW5" s="99"/>
      <c r="BX5" s="79"/>
      <c r="BY5" s="80">
        <v>3000</v>
      </c>
      <c r="BZ5" s="97">
        <v>0.00385</v>
      </c>
      <c r="CA5" s="18">
        <f>IF((CB4-BY5)&gt;0,(BY5-BY4)*BZ5,IF((CB4-BY4)*BZ5&gt;0,(CB4-BY4)*BZ5,0))</f>
        <v>0</v>
      </c>
      <c r="CB5" s="99"/>
      <c r="CC5" s="79"/>
      <c r="CD5" s="17">
        <v>500</v>
      </c>
      <c r="CE5" s="22">
        <v>0.007</v>
      </c>
      <c r="CF5" s="18">
        <f>IF((CG4-CD5)&gt;0,(CD5-CD4)*CE5,IF((CG4-CD4)*CE5&gt;0,(CG4-CD4)*CE5,0))</f>
        <v>0</v>
      </c>
      <c r="CG5" s="99"/>
      <c r="CH5" s="38"/>
      <c r="CI5" s="85" t="s">
        <v>97</v>
      </c>
      <c r="CJ5" s="108">
        <v>1</v>
      </c>
      <c r="CK5" s="108">
        <v>1</v>
      </c>
      <c r="CL5" s="108">
        <v>1</v>
      </c>
      <c r="CM5" s="108">
        <v>1</v>
      </c>
      <c r="CN5" s="108">
        <v>1</v>
      </c>
      <c r="CO5" s="116"/>
      <c r="CP5" s="85" t="s">
        <v>97</v>
      </c>
      <c r="CQ5" s="108">
        <v>0.6</v>
      </c>
      <c r="CR5" s="108">
        <v>0.6</v>
      </c>
      <c r="CS5" s="108">
        <v>0.6</v>
      </c>
      <c r="CT5" s="108">
        <v>0.6</v>
      </c>
      <c r="CU5" s="113" t="s">
        <v>78</v>
      </c>
      <c r="CV5" s="116"/>
      <c r="CW5" s="85" t="s">
        <v>97</v>
      </c>
      <c r="CX5" s="108">
        <v>0.6</v>
      </c>
      <c r="CY5" s="108">
        <v>0.6</v>
      </c>
      <c r="CZ5" s="108">
        <v>0.6</v>
      </c>
      <c r="DA5" s="108">
        <v>0.6</v>
      </c>
      <c r="DB5" s="113" t="s">
        <v>78</v>
      </c>
      <c r="DC5" s="116"/>
      <c r="DD5" s="38"/>
      <c r="DE5" s="38"/>
      <c r="DF5" s="13">
        <v>4</v>
      </c>
      <c r="DG5" s="17">
        <v>5000</v>
      </c>
      <c r="DH5" s="22">
        <v>0.015</v>
      </c>
      <c r="DI5" s="137">
        <v>5000</v>
      </c>
      <c r="DJ5" s="134">
        <f>DH5-(DI5-DG5)*(DH5-DH6)/(DG6-DG5)</f>
        <v>0.015</v>
      </c>
      <c r="DL5" s="138" t="s">
        <v>2</v>
      </c>
      <c r="DM5" s="139" t="s">
        <v>98</v>
      </c>
      <c r="DN5" s="139"/>
      <c r="DO5" s="139" t="s">
        <v>99</v>
      </c>
      <c r="DP5" s="139"/>
      <c r="DQ5" s="138" t="s">
        <v>100</v>
      </c>
    </row>
    <row r="6" ht="30.75" customHeight="1" spans="1:121">
      <c r="A6" s="13" t="s">
        <v>2</v>
      </c>
      <c r="B6" s="14" t="s">
        <v>90</v>
      </c>
      <c r="C6" s="14"/>
      <c r="D6" s="14" t="s">
        <v>91</v>
      </c>
      <c r="E6" s="14"/>
      <c r="F6" s="15" t="s">
        <v>92</v>
      </c>
      <c r="G6" s="16"/>
      <c r="H6" s="13" t="s">
        <v>2</v>
      </c>
      <c r="I6" s="14" t="s">
        <v>90</v>
      </c>
      <c r="J6" s="14"/>
      <c r="K6" s="14" t="s">
        <v>91</v>
      </c>
      <c r="L6" s="14"/>
      <c r="M6" s="15" t="s">
        <v>92</v>
      </c>
      <c r="N6" s="16"/>
      <c r="O6" s="13" t="s">
        <v>2</v>
      </c>
      <c r="P6" s="14" t="s">
        <v>90</v>
      </c>
      <c r="Q6" s="14"/>
      <c r="R6" s="14" t="s">
        <v>91</v>
      </c>
      <c r="S6" s="14"/>
      <c r="T6" s="15" t="s">
        <v>92</v>
      </c>
      <c r="U6" s="16"/>
      <c r="V6" s="38"/>
      <c r="W6" s="13">
        <v>1</v>
      </c>
      <c r="X6" s="17">
        <v>0</v>
      </c>
      <c r="Y6" s="17">
        <v>200</v>
      </c>
      <c r="Z6" s="18">
        <v>0</v>
      </c>
      <c r="AA6" s="45">
        <v>9</v>
      </c>
      <c r="AB6" s="19">
        <f>IF(AND(AB3&gt;X6,AB3&lt;=Y6),(AA6-Z6)/(Y6-X6)*(AB3-X6)+Z6,0)</f>
        <v>0</v>
      </c>
      <c r="AC6" s="13">
        <v>1</v>
      </c>
      <c r="AD6" s="17">
        <v>0</v>
      </c>
      <c r="AE6" s="17">
        <v>200</v>
      </c>
      <c r="AF6" s="18">
        <v>0</v>
      </c>
      <c r="AG6" s="45">
        <v>9</v>
      </c>
      <c r="AH6" s="19">
        <f>IF(AND(AH3&gt;AD6,AH3&lt;=AE6),(AG6-AF6)/(AE6-AD6)*(AH3-AD6)+AF6,0)</f>
        <v>0</v>
      </c>
      <c r="AI6" s="13">
        <v>1</v>
      </c>
      <c r="AJ6" s="17">
        <v>0</v>
      </c>
      <c r="AK6" s="17">
        <v>200</v>
      </c>
      <c r="AL6" s="18">
        <v>0</v>
      </c>
      <c r="AM6" s="45">
        <v>9</v>
      </c>
      <c r="AN6" s="19">
        <f>IF(AND(AN3&gt;AJ6,AN3&lt;=AK6),(AM6-AL6)/(AK6-AJ6)*(AN3-AJ6)+AL6,0)</f>
        <v>0</v>
      </c>
      <c r="AO6" s="38"/>
      <c r="AP6" s="13">
        <v>1</v>
      </c>
      <c r="AQ6" s="50">
        <v>0</v>
      </c>
      <c r="AR6" s="50">
        <v>500</v>
      </c>
      <c r="AS6" s="15" t="s">
        <v>101</v>
      </c>
      <c r="AT6" s="22">
        <v>0.033</v>
      </c>
      <c r="AU6" s="22">
        <f>IF(AND(AV3&gt;=AQ6,AV3&lt;AR6),AT6,0)</f>
        <v>0.033</v>
      </c>
      <c r="AV6" s="19">
        <f>AV3*AU6</f>
        <v>0</v>
      </c>
      <c r="AW6" s="13">
        <v>1</v>
      </c>
      <c r="AX6" s="50">
        <v>0</v>
      </c>
      <c r="AY6" s="50">
        <v>500</v>
      </c>
      <c r="AZ6" s="15" t="s">
        <v>101</v>
      </c>
      <c r="BA6" s="22">
        <v>0.033</v>
      </c>
      <c r="BB6" s="22">
        <f>IF(AND(BC3&gt;=AX6,BC3&lt;AY6),BA6,0)</f>
        <v>0.033</v>
      </c>
      <c r="BC6" s="19">
        <f>BC3*BB6</f>
        <v>0</v>
      </c>
      <c r="BD6" s="13">
        <v>1</v>
      </c>
      <c r="BE6" s="50">
        <v>0</v>
      </c>
      <c r="BF6" s="50">
        <v>500</v>
      </c>
      <c r="BG6" s="15" t="s">
        <v>101</v>
      </c>
      <c r="BH6" s="22">
        <v>0.033</v>
      </c>
      <c r="BI6" s="22">
        <f>IF(AND(BJ3&gt;=BE6,BJ3&lt;BF6),BH6,0)</f>
        <v>0.033</v>
      </c>
      <c r="BJ6" s="19">
        <f>BJ3*BI6</f>
        <v>0</v>
      </c>
      <c r="BK6" s="70"/>
      <c r="BL6" s="69">
        <v>1</v>
      </c>
      <c r="BM6" s="81">
        <v>0</v>
      </c>
      <c r="BN6" s="81">
        <v>3000</v>
      </c>
      <c r="BO6" s="82">
        <v>0</v>
      </c>
      <c r="BP6" s="82">
        <v>6</v>
      </c>
      <c r="BQ6" s="82" t="e">
        <f>IF(AND(BQ3&gt;BM6,BQ3&lt;=BN6),(BP6-BO6)/(BN6-BM6)*(BQ3-BM6)+BO6,0)</f>
        <v>#REF!</v>
      </c>
      <c r="BR6" s="38"/>
      <c r="BS6" s="79"/>
      <c r="BT6" s="80">
        <v>5000</v>
      </c>
      <c r="BU6" s="97">
        <v>0.00112</v>
      </c>
      <c r="BV6" s="18" t="e">
        <f>IF((BW4-BT6)&gt;0,(BT6-BT5)*BU6,IF((BW4-BT5)*BU6&gt;0,(BW4-BT5)*BU6,0))</f>
        <v>#REF!</v>
      </c>
      <c r="BW6" s="99"/>
      <c r="BX6" s="79"/>
      <c r="BY6" s="80">
        <v>5000</v>
      </c>
      <c r="BZ6" s="97">
        <v>0.00345</v>
      </c>
      <c r="CA6" s="18">
        <f>IF((CB4-BY6)&gt;0,(BY6-BY5)*BZ6,IF((CB4-BY5)*BZ6&gt;0,(CB4-BY5)*BZ6,0))</f>
        <v>0</v>
      </c>
      <c r="CB6" s="99"/>
      <c r="CC6" s="79"/>
      <c r="CD6" s="17">
        <v>1000</v>
      </c>
      <c r="CE6" s="22">
        <v>0.0055</v>
      </c>
      <c r="CF6" s="18">
        <f>IF((CG4-CD6)&gt;0,(CD6-CD5)*CE6,IF((CG4-CD5)*CE6&gt;0,(CG4-CD5)*CE6,0))</f>
        <v>0</v>
      </c>
      <c r="CG6" s="99"/>
      <c r="CH6" s="38"/>
      <c r="CI6" s="38"/>
      <c r="CJ6" s="38"/>
      <c r="CK6" s="38"/>
      <c r="CL6" s="38"/>
      <c r="CM6" s="117" t="s">
        <v>102</v>
      </c>
      <c r="CN6" s="38"/>
      <c r="CO6" s="118">
        <v>0.0594</v>
      </c>
      <c r="CP6" s="38"/>
      <c r="CQ6" s="38"/>
      <c r="CR6" s="38"/>
      <c r="CS6" s="38"/>
      <c r="CT6" s="117" t="s">
        <v>102</v>
      </c>
      <c r="CU6" s="38"/>
      <c r="CV6" s="118">
        <v>0.0612</v>
      </c>
      <c r="CW6" s="38"/>
      <c r="CX6" s="38"/>
      <c r="CY6" s="38"/>
      <c r="CZ6" s="38"/>
      <c r="DA6" s="117" t="s">
        <v>102</v>
      </c>
      <c r="DB6" s="38"/>
      <c r="DC6" s="118">
        <v>0.0612</v>
      </c>
      <c r="DD6" s="38"/>
      <c r="DE6" s="38"/>
      <c r="DF6" s="13">
        <v>5</v>
      </c>
      <c r="DG6" s="17">
        <v>10000</v>
      </c>
      <c r="DH6" s="123">
        <v>0.01</v>
      </c>
      <c r="DI6" s="140">
        <v>10000</v>
      </c>
      <c r="DJ6" s="134">
        <f>DH6-(DI6-DG6)*(DH6-DH7)/(DG7-DG6)</f>
        <v>0.01</v>
      </c>
      <c r="DL6" s="138">
        <v>1</v>
      </c>
      <c r="DM6" s="141">
        <v>0</v>
      </c>
      <c r="DN6" s="141">
        <v>200</v>
      </c>
      <c r="DO6" s="142">
        <v>0</v>
      </c>
      <c r="DP6" s="143">
        <v>0.0036</v>
      </c>
      <c r="DQ6" s="142" t="e">
        <f>IF((DQ3&lt;=DN6),DQ3*DP6,0)</f>
        <v>#REF!</v>
      </c>
    </row>
    <row r="7" spans="1:121">
      <c r="A7" s="13">
        <v>1</v>
      </c>
      <c r="B7" s="17">
        <v>0</v>
      </c>
      <c r="C7" s="17">
        <v>200</v>
      </c>
      <c r="D7" s="18">
        <v>0</v>
      </c>
      <c r="E7" s="18">
        <v>9</v>
      </c>
      <c r="F7" s="18">
        <f>IF(AND(F4&gt;B7,F4&lt;=C7),(E7-D7)/(C7-B7)*(F4-B7)+D7,0)</f>
        <v>0</v>
      </c>
      <c r="G7" s="19">
        <f>IF(AND(G4&gt;B7,G4&lt;=C7),(E7-D7)/(C7-B7)*(G4-B7)+D7,0)</f>
        <v>0</v>
      </c>
      <c r="H7" s="13">
        <v>1</v>
      </c>
      <c r="I7" s="17">
        <v>0</v>
      </c>
      <c r="J7" s="17">
        <v>200</v>
      </c>
      <c r="K7" s="18">
        <v>0</v>
      </c>
      <c r="L7" s="18">
        <v>9</v>
      </c>
      <c r="M7" s="18">
        <f>IF(AND(M4&gt;I7,M4&lt;=J7),(L7-K7)/(J7-I7)*(M4-I7)+K7,0)</f>
        <v>0</v>
      </c>
      <c r="N7" s="19">
        <f>IF(AND(N4&gt;I7,N4&lt;=J7),(L7-K7)/(J7-I7)*(N4-I7)+K7,0)</f>
        <v>0</v>
      </c>
      <c r="O7" s="13">
        <v>1</v>
      </c>
      <c r="P7" s="17">
        <v>0</v>
      </c>
      <c r="Q7" s="17">
        <v>200</v>
      </c>
      <c r="R7" s="18">
        <v>0</v>
      </c>
      <c r="S7" s="18">
        <v>9</v>
      </c>
      <c r="T7" s="18">
        <f>IF(AND(T4&gt;P7,T4&lt;=Q7),(S7-R7)/(Q7-P7)*(T4-P7)+R7,0)</f>
        <v>0</v>
      </c>
      <c r="U7" s="19">
        <f>IF(AND(U4&gt;P7,U4&lt;=Q7),(S7-R7)/(Q7-P7)*(U4-P7)+R7,0)</f>
        <v>0</v>
      </c>
      <c r="V7" s="38"/>
      <c r="W7" s="13">
        <v>2</v>
      </c>
      <c r="X7" s="17">
        <v>200</v>
      </c>
      <c r="Y7" s="17">
        <v>500</v>
      </c>
      <c r="Z7" s="18">
        <v>9</v>
      </c>
      <c r="AA7" s="18">
        <v>20.9</v>
      </c>
      <c r="AB7" s="19">
        <f>IF(AND(AB3&gt;X7,AB3&lt;=Y7),(AA7-Z7)/(Y7-X7)*(AB3-X7)+Z7,0)</f>
        <v>0</v>
      </c>
      <c r="AC7" s="13">
        <v>2</v>
      </c>
      <c r="AD7" s="17">
        <v>200</v>
      </c>
      <c r="AE7" s="17">
        <v>500</v>
      </c>
      <c r="AF7" s="18">
        <v>9</v>
      </c>
      <c r="AG7" s="18">
        <v>20.9</v>
      </c>
      <c r="AH7" s="19">
        <f>IF(AND(AH3&gt;AD7,AH3&lt;=AE7),(AG7-AF7)/(AE7-AD7)*(AH3-AD7)+AF7,0)</f>
        <v>0</v>
      </c>
      <c r="AI7" s="13">
        <v>2</v>
      </c>
      <c r="AJ7" s="17">
        <v>200</v>
      </c>
      <c r="AK7" s="17">
        <v>500</v>
      </c>
      <c r="AL7" s="18">
        <v>9</v>
      </c>
      <c r="AM7" s="18">
        <v>20.9</v>
      </c>
      <c r="AN7" s="19">
        <f>IF(AND(AN3&gt;AJ7,AN3&lt;=AK7),(AM7-AL7)/(AK7-AJ7)*(AN3-AJ7)+AL7,0)</f>
        <v>0</v>
      </c>
      <c r="AO7" s="38"/>
      <c r="AP7" s="13">
        <v>2</v>
      </c>
      <c r="AQ7" s="50">
        <v>500</v>
      </c>
      <c r="AR7" s="50">
        <v>1000</v>
      </c>
      <c r="AS7" s="22">
        <v>0.033</v>
      </c>
      <c r="AT7" s="22">
        <v>0.029</v>
      </c>
      <c r="AU7" s="22">
        <f>IF(AND(AV3&gt;=AQ7,AV3&lt;AR7),(AS7-(AS7-AT7)/(AR7-AQ7)*(AV3-AQ7)),0)</f>
        <v>0</v>
      </c>
      <c r="AV7" s="19">
        <f>AV3*AU7</f>
        <v>0</v>
      </c>
      <c r="AW7" s="13">
        <v>2</v>
      </c>
      <c r="AX7" s="50">
        <v>500</v>
      </c>
      <c r="AY7" s="50">
        <v>1000</v>
      </c>
      <c r="AZ7" s="22">
        <v>0.033</v>
      </c>
      <c r="BA7" s="22">
        <v>0.029</v>
      </c>
      <c r="BB7" s="22">
        <f>IF(AND(BC3&gt;=AX7,BC3&lt;AY7),(AZ7-(AZ7-BA7)/(AY7-AX7)*(BC3-AX7)),0)</f>
        <v>0</v>
      </c>
      <c r="BC7" s="19">
        <f>BC3*BB7</f>
        <v>0</v>
      </c>
      <c r="BD7" s="13">
        <v>2</v>
      </c>
      <c r="BE7" s="50">
        <v>500</v>
      </c>
      <c r="BF7" s="50">
        <v>1000</v>
      </c>
      <c r="BG7" s="22">
        <v>0.033</v>
      </c>
      <c r="BH7" s="22">
        <v>0.029</v>
      </c>
      <c r="BI7" s="22">
        <f>IF(AND(BJ3&gt;=BE7,BJ3&lt;BF7),(BG7-(BG7-BH7)/(BF7-BE7)*(BJ3-BE7)),0)</f>
        <v>0</v>
      </c>
      <c r="BJ7" s="19">
        <f>BJ3*BI7</f>
        <v>0</v>
      </c>
      <c r="BK7" s="70"/>
      <c r="BL7" s="69">
        <v>2</v>
      </c>
      <c r="BM7" s="81">
        <v>3000</v>
      </c>
      <c r="BN7" s="81">
        <v>10000</v>
      </c>
      <c r="BO7" s="82">
        <v>6</v>
      </c>
      <c r="BP7" s="82">
        <v>14</v>
      </c>
      <c r="BQ7" s="82" t="e">
        <f>IF(AND(BQ3&gt;BM7,BQ3&lt;=BN7),(BP7-BO7)/(BN7-BM7)*(BQ3-BM7)+BO7,0)</f>
        <v>#REF!</v>
      </c>
      <c r="BR7" s="38"/>
      <c r="BS7" s="79"/>
      <c r="BT7" s="80">
        <v>10000</v>
      </c>
      <c r="BU7" s="97">
        <v>0.00084</v>
      </c>
      <c r="BV7" s="18" t="e">
        <f>IF((BW4-BT7)&gt;0,(BT7-BT6)*BU7,IF((BW4-BT6)*BU7&gt;0,(BW4-BT6)*BU7,0))</f>
        <v>#REF!</v>
      </c>
      <c r="BW7" s="99"/>
      <c r="BX7" s="79"/>
      <c r="BY7" s="80">
        <v>10000</v>
      </c>
      <c r="BZ7" s="97">
        <v>0.0029</v>
      </c>
      <c r="CA7" s="18">
        <f>IF((CB4-BY7)&gt;0,(BY7-BY6)*BZ7,IF((CB4-BY6)*BZ7&gt;0,(CB4-BY6)*BZ7,0))</f>
        <v>0</v>
      </c>
      <c r="CB7" s="99"/>
      <c r="CC7" s="79"/>
      <c r="CD7" s="17">
        <v>5000</v>
      </c>
      <c r="CE7" s="22">
        <v>0.0035</v>
      </c>
      <c r="CF7" s="18">
        <f>IF((CG4-CD7)&gt;0,(CD7-CD6)*CE7,IF((CG4-CD6)*CE7&gt;0,(CG4-CD6)*CE7,0))</f>
        <v>0</v>
      </c>
      <c r="CG7" s="99"/>
      <c r="CH7" s="38"/>
      <c r="CI7" s="109" t="s">
        <v>103</v>
      </c>
      <c r="CJ7" s="110"/>
      <c r="CK7" s="110"/>
      <c r="CL7" s="110"/>
      <c r="CM7" s="110"/>
      <c r="CN7" s="110"/>
      <c r="CO7" s="119" t="e">
        <f>SUM(CO8:CO12)</f>
        <v>#N/A</v>
      </c>
      <c r="CP7" s="120" t="s">
        <v>103</v>
      </c>
      <c r="CQ7" s="121"/>
      <c r="CR7" s="121"/>
      <c r="CS7" s="121"/>
      <c r="CT7" s="121"/>
      <c r="CU7" s="121"/>
      <c r="CV7" s="119" t="e">
        <f>SUM(CV8:CV11)</f>
        <v>#N/A</v>
      </c>
      <c r="CW7" s="120" t="s">
        <v>103</v>
      </c>
      <c r="CX7" s="121"/>
      <c r="CY7" s="121"/>
      <c r="CZ7" s="121"/>
      <c r="DA7" s="121"/>
      <c r="DB7" s="121"/>
      <c r="DC7" s="119" t="e">
        <f>SUM(DC8:DC11)</f>
        <v>#N/A</v>
      </c>
      <c r="DD7" s="38"/>
      <c r="DE7" s="38"/>
      <c r="DF7" s="31">
        <v>6</v>
      </c>
      <c r="DG7" s="32">
        <v>50000</v>
      </c>
      <c r="DH7" s="124">
        <v>0.008</v>
      </c>
      <c r="DI7" s="144">
        <v>50000</v>
      </c>
      <c r="DJ7" s="145">
        <v>0.006</v>
      </c>
      <c r="DL7" s="138">
        <v>2</v>
      </c>
      <c r="DM7" s="141">
        <v>200</v>
      </c>
      <c r="DN7" s="141">
        <v>500</v>
      </c>
      <c r="DO7" s="142">
        <v>0.72</v>
      </c>
      <c r="DP7" s="142">
        <v>1.67</v>
      </c>
      <c r="DQ7" s="142" t="e">
        <f>IF(AND(DQ3&gt;DM7,DQ3&lt;=DN7),(DP7-DO7)/(DN7-DM7)*(DQ3-DM7)+DO7,0)</f>
        <v>#REF!</v>
      </c>
    </row>
    <row r="8" spans="1:121">
      <c r="A8" s="13">
        <v>2</v>
      </c>
      <c r="B8" s="17">
        <v>200</v>
      </c>
      <c r="C8" s="17">
        <v>500</v>
      </c>
      <c r="D8" s="18">
        <v>9</v>
      </c>
      <c r="E8" s="18">
        <v>20.9</v>
      </c>
      <c r="F8" s="18">
        <f>IF(AND(F4&gt;B8,F4&lt;=C8),(E8-D8)/(C8-B8)*(F4-B8)+D8,0)</f>
        <v>0</v>
      </c>
      <c r="G8" s="19">
        <f>IF(AND(G4&gt;B8,G4&lt;=C8),(E8-D8)/(C8-B8)*(G4-B8)+D8,0)</f>
        <v>0</v>
      </c>
      <c r="H8" s="13">
        <v>2</v>
      </c>
      <c r="I8" s="17">
        <v>200</v>
      </c>
      <c r="J8" s="17">
        <v>500</v>
      </c>
      <c r="K8" s="18">
        <v>9</v>
      </c>
      <c r="L8" s="18">
        <v>20.9</v>
      </c>
      <c r="M8" s="18">
        <f>IF(AND(M4&gt;I8,M4&lt;=J8),(L8-K8)/(J8-I8)*(M4-I8)+K8,0)</f>
        <v>0</v>
      </c>
      <c r="N8" s="19">
        <f>IF(AND(N4&gt;I8,N4&lt;=J8),(L8-K8)/(J8-I8)*(N4-I8)+K8,0)</f>
        <v>0</v>
      </c>
      <c r="O8" s="13">
        <v>2</v>
      </c>
      <c r="P8" s="17">
        <v>200</v>
      </c>
      <c r="Q8" s="17">
        <v>500</v>
      </c>
      <c r="R8" s="18">
        <v>9</v>
      </c>
      <c r="S8" s="18">
        <v>20.9</v>
      </c>
      <c r="T8" s="18">
        <f>IF(AND(T4&gt;P8,T4&lt;=Q8),(S8-R8)/(Q8-P8)*(T4-P8)+R8,0)</f>
        <v>0</v>
      </c>
      <c r="U8" s="19">
        <f>IF(AND(U4&gt;P8,U4&lt;=Q8),(S8-R8)/(Q8-P8)*(U4-P8)+R8,0)</f>
        <v>0</v>
      </c>
      <c r="V8" s="38"/>
      <c r="W8" s="13">
        <v>3</v>
      </c>
      <c r="X8" s="17">
        <v>500</v>
      </c>
      <c r="Y8" s="17">
        <v>1000</v>
      </c>
      <c r="Z8" s="18">
        <v>20.9</v>
      </c>
      <c r="AA8" s="18">
        <v>38.8</v>
      </c>
      <c r="AB8" s="19">
        <f>IF(AND(AB3&gt;X8,AB3&lt;=Y8),(AA8-Z8)/(Y8-X8)*(AB3-X8)+Z8,0)</f>
        <v>0</v>
      </c>
      <c r="AC8" s="13">
        <v>3</v>
      </c>
      <c r="AD8" s="17">
        <v>500</v>
      </c>
      <c r="AE8" s="17">
        <v>1000</v>
      </c>
      <c r="AF8" s="18">
        <v>20.9</v>
      </c>
      <c r="AG8" s="18">
        <v>38.8</v>
      </c>
      <c r="AH8" s="19">
        <f>IF(AND(AH3&gt;AD8,AH3&lt;=AE8),(AG8-AF8)/(AE8-AD8)*(AH3-AD8)+AF8,0)</f>
        <v>0</v>
      </c>
      <c r="AI8" s="13">
        <v>3</v>
      </c>
      <c r="AJ8" s="17">
        <v>500</v>
      </c>
      <c r="AK8" s="17">
        <v>1000</v>
      </c>
      <c r="AL8" s="18">
        <v>20.9</v>
      </c>
      <c r="AM8" s="18">
        <v>38.8</v>
      </c>
      <c r="AN8" s="19">
        <f>IF(AND(AN3&gt;AJ8,AN3&lt;=AK8),(AM8-AL8)/(AK8-AJ8)*(AN3-AJ8)+AL8,0)</f>
        <v>0</v>
      </c>
      <c r="AO8" s="38"/>
      <c r="AP8" s="13">
        <v>3</v>
      </c>
      <c r="AQ8" s="50">
        <v>1000</v>
      </c>
      <c r="AR8" s="50">
        <v>3000</v>
      </c>
      <c r="AS8" s="22">
        <v>0.029</v>
      </c>
      <c r="AT8" s="22">
        <v>0.026</v>
      </c>
      <c r="AU8" s="22">
        <f>IF(AND(AV3&gt;=AQ8,AV3&lt;AR8),(AS8-(AS8-AT8)/(AR8-AQ8)*(AV3-AQ8)),0)</f>
        <v>0</v>
      </c>
      <c r="AV8" s="19">
        <f>AV3*AU8</f>
        <v>0</v>
      </c>
      <c r="AW8" s="13">
        <v>3</v>
      </c>
      <c r="AX8" s="50">
        <v>1000</v>
      </c>
      <c r="AY8" s="50">
        <v>3000</v>
      </c>
      <c r="AZ8" s="22">
        <v>0.029</v>
      </c>
      <c r="BA8" s="22">
        <v>0.026</v>
      </c>
      <c r="BB8" s="22">
        <f>IF(AND(BC3&gt;=AX8,BC3&lt;AY8),(AZ8-(AZ8-BA8)/(AY8-AX8)*(BC3-AX8)),0)</f>
        <v>0</v>
      </c>
      <c r="BC8" s="19">
        <f>BC3*BB8</f>
        <v>0</v>
      </c>
      <c r="BD8" s="13">
        <v>3</v>
      </c>
      <c r="BE8" s="50">
        <v>1000</v>
      </c>
      <c r="BF8" s="50">
        <v>3000</v>
      </c>
      <c r="BG8" s="22">
        <v>0.029</v>
      </c>
      <c r="BH8" s="22">
        <v>0.026</v>
      </c>
      <c r="BI8" s="22">
        <f>IF(AND(BJ3&gt;=BE8,BJ3&lt;BF8),(BG8-(BG8-BH8)/(BF8-BE8)*(BJ3-BE8)),0)</f>
        <v>0</v>
      </c>
      <c r="BJ8" s="19">
        <f>BJ3*BI8</f>
        <v>0</v>
      </c>
      <c r="BK8" s="70"/>
      <c r="BL8" s="69">
        <v>3</v>
      </c>
      <c r="BM8" s="81">
        <v>10000</v>
      </c>
      <c r="BN8" s="81">
        <v>50000</v>
      </c>
      <c r="BO8" s="82">
        <v>14</v>
      </c>
      <c r="BP8" s="82">
        <v>37</v>
      </c>
      <c r="BQ8" s="82" t="e">
        <f>IF(AND(BQ3&gt;BM8,BQ3&lt;=BN8),(BP8-BO8)/(BN8-BM8)*(BQ3-BM8)+BO8,0)</f>
        <v>#REF!</v>
      </c>
      <c r="BR8" s="38"/>
      <c r="BS8" s="79"/>
      <c r="BT8" s="80">
        <v>50000</v>
      </c>
      <c r="BU8" s="100">
        <v>0.0007</v>
      </c>
      <c r="BV8" s="18" t="e">
        <f>IF((BW4-BT8)&gt;0,(BT8-BT7)*BU8,IF((BW4-BT7)*BU8&gt;0,(BW4-BT7)*BU8,0))</f>
        <v>#REF!</v>
      </c>
      <c r="BW8" s="99"/>
      <c r="BX8" s="79"/>
      <c r="BY8" s="80">
        <v>50000</v>
      </c>
      <c r="BZ8" s="97">
        <v>0.0024</v>
      </c>
      <c r="CA8" s="18">
        <f>IF((CB4-BY8)&gt;0,(BY8-BY7)*BZ8,IF((CB4-BY7)*BZ8&gt;0,(CB4-BY7)*BZ8,0))</f>
        <v>0</v>
      </c>
      <c r="CB8" s="99"/>
      <c r="CC8" s="79"/>
      <c r="CD8" s="17">
        <v>10000</v>
      </c>
      <c r="CE8" s="22">
        <v>0.002</v>
      </c>
      <c r="CF8" s="18">
        <f>IF((CG4-CD8)&gt;0,(CD8-CD7)*CE8,IF((CG4-CD7)*CE8&gt;0,(CG4-CD7)*CE8,0))</f>
        <v>0</v>
      </c>
      <c r="CG8" s="99"/>
      <c r="CH8" s="38"/>
      <c r="CI8" s="79" t="s">
        <v>104</v>
      </c>
      <c r="CJ8" s="111" t="s">
        <v>105</v>
      </c>
      <c r="CK8" s="111"/>
      <c r="CL8" s="111"/>
      <c r="CM8" s="111"/>
      <c r="CN8" s="111"/>
      <c r="CO8" s="19" t="e">
        <f>1/2*CJ4*CJ5*CO6</f>
        <v>#N/A</v>
      </c>
      <c r="CP8" s="79" t="s">
        <v>104</v>
      </c>
      <c r="CQ8" s="111" t="s">
        <v>106</v>
      </c>
      <c r="CR8" s="111"/>
      <c r="CS8" s="111"/>
      <c r="CT8" s="111"/>
      <c r="CU8" s="111"/>
      <c r="CV8" s="19" t="e">
        <f>1/2*CQ4*CQ5*CV6</f>
        <v>#N/A</v>
      </c>
      <c r="CW8" s="79" t="s">
        <v>104</v>
      </c>
      <c r="CX8" s="111" t="s">
        <v>105</v>
      </c>
      <c r="CY8" s="111"/>
      <c r="CZ8" s="111"/>
      <c r="DA8" s="111"/>
      <c r="DB8" s="111"/>
      <c r="DC8" s="19" t="e">
        <f>1/2*CX4*CX5*DC6</f>
        <v>#N/A</v>
      </c>
      <c r="DD8" s="38"/>
      <c r="DE8" s="38"/>
      <c r="DF8" s="125" t="s">
        <v>107</v>
      </c>
      <c r="DG8" s="38"/>
      <c r="DH8" s="38"/>
      <c r="DI8" s="38"/>
      <c r="DJ8" s="38"/>
      <c r="DL8" s="138">
        <v>3</v>
      </c>
      <c r="DM8" s="141">
        <v>500</v>
      </c>
      <c r="DN8" s="141">
        <v>1000</v>
      </c>
      <c r="DO8" s="142">
        <v>1.67</v>
      </c>
      <c r="DP8" s="142">
        <v>3.1</v>
      </c>
      <c r="DQ8" s="142" t="e">
        <f>IF(AND(DQ3&gt;DM8,DQ3&lt;=DN8),(DP8-DO8)/(DN8-DM8)*(DQ3-DM8)+DO8,0)</f>
        <v>#REF!</v>
      </c>
    </row>
    <row r="9" spans="1:121">
      <c r="A9" s="13">
        <v>3</v>
      </c>
      <c r="B9" s="17">
        <v>500</v>
      </c>
      <c r="C9" s="17">
        <v>1000</v>
      </c>
      <c r="D9" s="18">
        <v>20.9</v>
      </c>
      <c r="E9" s="18">
        <v>38.8</v>
      </c>
      <c r="F9" s="18">
        <f>IF(AND(F4&gt;B9,F4&lt;=C9),(E9-D9)/(C9-B9)*(F4-B9)+D9,0)</f>
        <v>0</v>
      </c>
      <c r="G9" s="19">
        <f>IF(AND(G4&gt;B9,G4&lt;=C9),(E9-D9)/(C9-B9)*(G4-B9)+D9,0)</f>
        <v>0</v>
      </c>
      <c r="H9" s="13">
        <v>3</v>
      </c>
      <c r="I9" s="17">
        <v>500</v>
      </c>
      <c r="J9" s="17">
        <v>1000</v>
      </c>
      <c r="K9" s="18">
        <v>20.9</v>
      </c>
      <c r="L9" s="18">
        <v>38.8</v>
      </c>
      <c r="M9" s="18">
        <f>IF(AND(M4&gt;I9,M4&lt;=J9),(L9-K9)/(J9-I9)*(M4-I9)+K9,0)</f>
        <v>0</v>
      </c>
      <c r="N9" s="19">
        <f>IF(AND(N4&gt;I9,N4&lt;=J9),(L9-K9)/(J9-I9)*(N4-I9)+K9,0)</f>
        <v>0</v>
      </c>
      <c r="O9" s="13">
        <v>3</v>
      </c>
      <c r="P9" s="17">
        <v>500</v>
      </c>
      <c r="Q9" s="17">
        <v>1000</v>
      </c>
      <c r="R9" s="18">
        <v>20.9</v>
      </c>
      <c r="S9" s="18">
        <v>38.8</v>
      </c>
      <c r="T9" s="18">
        <f>IF(AND(T4&gt;P9,T4&lt;=Q9),(S9-R9)/(Q9-P9)*(T4-P9)+R9,0)</f>
        <v>0</v>
      </c>
      <c r="U9" s="19">
        <f>IF(AND(U4&gt;P9,U4&lt;=Q9),(S9-R9)/(Q9-P9)*(U4-P9)+R9,0)</f>
        <v>0</v>
      </c>
      <c r="V9" s="38"/>
      <c r="W9" s="13">
        <v>4</v>
      </c>
      <c r="X9" s="17">
        <v>1000</v>
      </c>
      <c r="Y9" s="17">
        <v>3000</v>
      </c>
      <c r="Z9" s="18">
        <v>38.8</v>
      </c>
      <c r="AA9" s="18">
        <v>103.8</v>
      </c>
      <c r="AB9" s="19">
        <f>IF(AND(AB3&gt;X9,AB3&lt;=Y9),(AA9-Z9)/(Y9-X9)*(AB3-X9)+Z9,0)</f>
        <v>0</v>
      </c>
      <c r="AC9" s="13">
        <v>4</v>
      </c>
      <c r="AD9" s="17">
        <v>1000</v>
      </c>
      <c r="AE9" s="17">
        <v>3000</v>
      </c>
      <c r="AF9" s="18">
        <v>38.8</v>
      </c>
      <c r="AG9" s="18">
        <v>103.8</v>
      </c>
      <c r="AH9" s="19">
        <f>IF(AND(AH3&gt;AD9,AH3&lt;=AE9),(AG9-AF9)/(AE9-AD9)*(AH3-AD9)+AF9,0)</f>
        <v>0</v>
      </c>
      <c r="AI9" s="13">
        <v>4</v>
      </c>
      <c r="AJ9" s="17">
        <v>1000</v>
      </c>
      <c r="AK9" s="17">
        <v>3000</v>
      </c>
      <c r="AL9" s="18">
        <v>38.8</v>
      </c>
      <c r="AM9" s="18">
        <v>103.8</v>
      </c>
      <c r="AN9" s="19">
        <f>IF(AND(AN3&gt;AJ9,AN3&lt;=AK9),(AM9-AL9)/(AK9-AJ9)*(AN3-AJ9)+AL9,0)</f>
        <v>0</v>
      </c>
      <c r="AO9" s="38"/>
      <c r="AP9" s="13">
        <v>4</v>
      </c>
      <c r="AQ9" s="50">
        <v>3000</v>
      </c>
      <c r="AR9" s="50">
        <v>5000</v>
      </c>
      <c r="AS9" s="22">
        <v>0.026</v>
      </c>
      <c r="AT9" s="22">
        <v>0.024</v>
      </c>
      <c r="AU9" s="22">
        <f>IF(AND(AV3&gt;=AQ9,AV3&lt;AR9),(AS9-(AS9-AT9)/(AR9-AQ9)*(AV3-AQ9)),0)</f>
        <v>0</v>
      </c>
      <c r="AV9" s="19">
        <f>AV3*AU9</f>
        <v>0</v>
      </c>
      <c r="AW9" s="13">
        <v>4</v>
      </c>
      <c r="AX9" s="50">
        <v>3000</v>
      </c>
      <c r="AY9" s="50">
        <v>5000</v>
      </c>
      <c r="AZ9" s="22">
        <v>0.026</v>
      </c>
      <c r="BA9" s="22">
        <v>0.024</v>
      </c>
      <c r="BB9" s="22">
        <f>IF(AND(BC3&gt;=AX9,BC3&lt;AY9),(AZ9-(AZ9-BA9)/(AY9-AX9)*(BC3-AX9)),0)</f>
        <v>0</v>
      </c>
      <c r="BC9" s="19">
        <f>BC3*BB9</f>
        <v>0</v>
      </c>
      <c r="BD9" s="13">
        <v>4</v>
      </c>
      <c r="BE9" s="50">
        <v>3000</v>
      </c>
      <c r="BF9" s="50">
        <v>5000</v>
      </c>
      <c r="BG9" s="22">
        <v>0.026</v>
      </c>
      <c r="BH9" s="22">
        <v>0.024</v>
      </c>
      <c r="BI9" s="22">
        <f>IF(AND(BJ3&gt;=BE9,BJ3&lt;BF9),(BG9-(BG9-BH9)/(BF9-BE9)*(BJ3-BE9)),0)</f>
        <v>0</v>
      </c>
      <c r="BJ9" s="19">
        <f>BJ3*BI9</f>
        <v>0</v>
      </c>
      <c r="BK9" s="70"/>
      <c r="BL9" s="69">
        <v>4</v>
      </c>
      <c r="BM9" s="81">
        <v>50000</v>
      </c>
      <c r="BN9" s="81">
        <v>100000</v>
      </c>
      <c r="BO9" s="82">
        <v>37</v>
      </c>
      <c r="BP9" s="82">
        <v>55</v>
      </c>
      <c r="BQ9" s="82" t="e">
        <f>IF(AND(BQ3&gt;BM9,BQ3&lt;=BN9),(BP9-BO9)/(BN9-BM9)*(BQ3-BM9)+BO9,0)</f>
        <v>#REF!</v>
      </c>
      <c r="BR9" s="38"/>
      <c r="BS9" s="79"/>
      <c r="BT9" s="80">
        <v>100000</v>
      </c>
      <c r="BU9" s="97">
        <v>0.00055</v>
      </c>
      <c r="BV9" s="18" t="e">
        <f>IF((BW4-BT9)&gt;0,(BT9-BT8)*BU9,IF((BW4-BT8)*BU9&gt;0,(BW4-BT8)*BU9,0))</f>
        <v>#REF!</v>
      </c>
      <c r="BW9" s="99"/>
      <c r="BX9" s="79"/>
      <c r="BY9" s="80">
        <v>100000</v>
      </c>
      <c r="BZ9" s="97">
        <v>0.0007</v>
      </c>
      <c r="CA9" s="18">
        <f>IF((CB4-BY9)&gt;0,(BY9-BY8)*BZ9,IF((CB4-BY8)*BZ9&gt;0,(CB4-BY8)*BZ9,0))</f>
        <v>0</v>
      </c>
      <c r="CB9" s="99"/>
      <c r="CC9" s="79"/>
      <c r="CD9" s="17">
        <v>100000</v>
      </c>
      <c r="CE9" s="22">
        <v>0.0005</v>
      </c>
      <c r="CF9" s="18">
        <f>IF((CG4-CD9)&gt;0,(CD9-CD8)*CE9,IF((CG4-CD8)*CE9&gt;0,(CG4-CD8)*CE9,0))</f>
        <v>0</v>
      </c>
      <c r="CG9" s="99"/>
      <c r="CH9" s="38"/>
      <c r="CI9" s="79" t="s">
        <v>108</v>
      </c>
      <c r="CJ9" s="111" t="s">
        <v>109</v>
      </c>
      <c r="CK9" s="111"/>
      <c r="CL9" s="111"/>
      <c r="CM9" s="111"/>
      <c r="CN9" s="111"/>
      <c r="CO9" s="19" t="e">
        <f>(CJ4*CJ5+1/2*CK4*CK5+CO8)*CO6</f>
        <v>#N/A</v>
      </c>
      <c r="CP9" s="79" t="s">
        <v>108</v>
      </c>
      <c r="CQ9" s="111" t="s">
        <v>110</v>
      </c>
      <c r="CR9" s="111"/>
      <c r="CS9" s="111"/>
      <c r="CT9" s="111"/>
      <c r="CU9" s="111"/>
      <c r="CV9" s="19" t="e">
        <f>(CQ4*CQ5+1/2*CR4*CR5+CV8)*CV6</f>
        <v>#N/A</v>
      </c>
      <c r="CW9" s="79" t="s">
        <v>108</v>
      </c>
      <c r="CX9" s="111" t="s">
        <v>109</v>
      </c>
      <c r="CY9" s="111"/>
      <c r="CZ9" s="111"/>
      <c r="DA9" s="111"/>
      <c r="DB9" s="111"/>
      <c r="DC9" s="19" t="e">
        <f>(CX4*CX5+1/2*CY4*CY5+DC8)*DC6</f>
        <v>#N/A</v>
      </c>
      <c r="DD9" s="38"/>
      <c r="DE9" s="38"/>
      <c r="DF9" s="37" t="s">
        <v>111</v>
      </c>
      <c r="DG9" s="38" t="s">
        <v>112</v>
      </c>
      <c r="DH9" s="38"/>
      <c r="DI9" s="38"/>
      <c r="DJ9" s="38"/>
      <c r="DL9" s="138">
        <v>4</v>
      </c>
      <c r="DM9" s="141">
        <v>1000</v>
      </c>
      <c r="DN9" s="146">
        <v>3000</v>
      </c>
      <c r="DO9" s="142">
        <v>3.1</v>
      </c>
      <c r="DP9" s="147">
        <v>8.31</v>
      </c>
      <c r="DQ9" s="142" t="e">
        <f>IF(AND(DQ3&gt;DM9,DQ3&lt;=DN9),(DP9-DO9)/(DN9-DM9)*(DQ3-DM9)+DO9,0)</f>
        <v>#REF!</v>
      </c>
    </row>
    <row r="10" ht="36" spans="1:121">
      <c r="A10" s="13">
        <v>4</v>
      </c>
      <c r="B10" s="17">
        <v>1000</v>
      </c>
      <c r="C10" s="17">
        <v>3000</v>
      </c>
      <c r="D10" s="18">
        <v>38.8</v>
      </c>
      <c r="E10" s="18">
        <v>103.8</v>
      </c>
      <c r="F10" s="18">
        <f>IF(AND(F4&gt;B10,F4&lt;=C10),(E10-D10)/(C10-B10)*(F4-B10)+D10,0)</f>
        <v>0</v>
      </c>
      <c r="G10" s="19">
        <f>IF(AND(G4&gt;B10,G4&lt;=C10),(E10-D10)/(C10-B10)*(G4-B10)+D10,0)</f>
        <v>0</v>
      </c>
      <c r="H10" s="13">
        <v>4</v>
      </c>
      <c r="I10" s="17">
        <v>1000</v>
      </c>
      <c r="J10" s="17">
        <v>3000</v>
      </c>
      <c r="K10" s="18">
        <v>38.8</v>
      </c>
      <c r="L10" s="18">
        <v>103.8</v>
      </c>
      <c r="M10" s="18">
        <f>IF(AND(M4&gt;I10,M4&lt;=J10),(L10-K10)/(J10-I10)*(M4-I10)+K10,0)</f>
        <v>0</v>
      </c>
      <c r="N10" s="19">
        <f>IF(AND(N4&gt;I10,N4&lt;=J10),(L10-K10)/(J10-I10)*(N4-I10)+K10,0)</f>
        <v>0</v>
      </c>
      <c r="O10" s="13">
        <v>4</v>
      </c>
      <c r="P10" s="17">
        <v>1000</v>
      </c>
      <c r="Q10" s="17">
        <v>3000</v>
      </c>
      <c r="R10" s="18">
        <v>38.8</v>
      </c>
      <c r="S10" s="18">
        <v>103.8</v>
      </c>
      <c r="T10" s="18">
        <f>IF(AND(T4&gt;P10,T4&lt;=Q10),(S10-R10)/(Q10-P10)*(T4-P10)+R10,0)</f>
        <v>0</v>
      </c>
      <c r="U10" s="19">
        <f>IF(AND(U4&gt;P10,U4&lt;=Q10),(S10-R10)/(Q10-P10)*(U4-P10)+R10,0)</f>
        <v>0</v>
      </c>
      <c r="V10" s="38"/>
      <c r="W10" s="13">
        <v>5</v>
      </c>
      <c r="X10" s="20">
        <v>3000</v>
      </c>
      <c r="Y10" s="20">
        <v>5000</v>
      </c>
      <c r="Z10" s="21">
        <v>103.8</v>
      </c>
      <c r="AA10" s="21">
        <v>163.9</v>
      </c>
      <c r="AB10" s="19">
        <f>IF(AND(AB3&gt;X10,AB3&lt;=Y10),(AA10-Z10)/(Y10-X10)*(AB3-X10)+Z10,0)</f>
        <v>0</v>
      </c>
      <c r="AC10" s="13">
        <v>5</v>
      </c>
      <c r="AD10" s="20">
        <v>3000</v>
      </c>
      <c r="AE10" s="20">
        <v>5000</v>
      </c>
      <c r="AF10" s="21">
        <v>103.8</v>
      </c>
      <c r="AG10" s="21">
        <v>163.9</v>
      </c>
      <c r="AH10" s="19">
        <f>IF(AND(AH3&gt;AD10,AH3&lt;=AE10),(AG10-AF10)/(AE10-AD10)*(AH3-AD10)+AF10,0)</f>
        <v>0</v>
      </c>
      <c r="AI10" s="13">
        <v>5</v>
      </c>
      <c r="AJ10" s="20">
        <v>3000</v>
      </c>
      <c r="AK10" s="20">
        <v>5000</v>
      </c>
      <c r="AL10" s="21">
        <v>103.8</v>
      </c>
      <c r="AM10" s="21">
        <v>163.9</v>
      </c>
      <c r="AN10" s="19">
        <f>IF(AND(AN3&gt;AJ10,AN3&lt;=AK10),(AM10-AL10)/(AK10-AJ10)*(AN3-AJ10)+AL10,0)</f>
        <v>0</v>
      </c>
      <c r="AO10" s="38"/>
      <c r="AP10" s="13">
        <v>5</v>
      </c>
      <c r="AQ10" s="50">
        <v>5000</v>
      </c>
      <c r="AR10" s="50">
        <v>7000</v>
      </c>
      <c r="AS10" s="22">
        <v>0.024</v>
      </c>
      <c r="AT10" s="22">
        <v>0.022</v>
      </c>
      <c r="AU10" s="22">
        <f>IF(AND(AV3&gt;=AQ10,AV3&lt;AR10),(AS10-(AS10-AT10)/(AR10-AQ10)*(AV3-AQ10)),0)</f>
        <v>0</v>
      </c>
      <c r="AV10" s="19">
        <f>AV3*AU10</f>
        <v>0</v>
      </c>
      <c r="AW10" s="13">
        <v>5</v>
      </c>
      <c r="AX10" s="50">
        <v>5000</v>
      </c>
      <c r="AY10" s="50">
        <v>7000</v>
      </c>
      <c r="AZ10" s="22">
        <v>0.024</v>
      </c>
      <c r="BA10" s="22">
        <v>0.022</v>
      </c>
      <c r="BB10" s="22">
        <f>IF(AND(BC3&gt;=AX10,BC3&lt;AY10),(AZ10-(AZ10-BA10)/(AY10-AX10)*(BC3-AX10)),0)</f>
        <v>0</v>
      </c>
      <c r="BC10" s="19">
        <f>BC3*BB10</f>
        <v>0</v>
      </c>
      <c r="BD10" s="13">
        <v>5</v>
      </c>
      <c r="BE10" s="50">
        <v>5000</v>
      </c>
      <c r="BF10" s="50">
        <v>7000</v>
      </c>
      <c r="BG10" s="22">
        <v>0.024</v>
      </c>
      <c r="BH10" s="22">
        <v>0.022</v>
      </c>
      <c r="BI10" s="22">
        <f>IF(AND(BJ3&gt;=BE10,BJ3&lt;BF10),(BG10-(BG10-BH10)/(BF10-BE10)*(BJ3-BE10)),0)</f>
        <v>0</v>
      </c>
      <c r="BJ10" s="19">
        <f>BJ3*BI10</f>
        <v>0</v>
      </c>
      <c r="BK10" s="70"/>
      <c r="BL10" s="69">
        <v>5</v>
      </c>
      <c r="BM10" s="83">
        <v>100000</v>
      </c>
      <c r="BN10" s="83">
        <v>500000</v>
      </c>
      <c r="BO10" s="84">
        <v>55</v>
      </c>
      <c r="BP10" s="84">
        <v>100</v>
      </c>
      <c r="BQ10" s="82" t="e">
        <f>IF(AND(BQ3&gt;BM10,BQ3&lt;=BN10),(BP10-BO10)/(BN10-BM10)*(BQ3-BM10)+BO10,0)</f>
        <v>#REF!</v>
      </c>
      <c r="BR10" s="38"/>
      <c r="BS10" s="53" t="s">
        <v>113</v>
      </c>
      <c r="BT10" s="17">
        <v>500000</v>
      </c>
      <c r="BU10" s="63">
        <v>0.00016</v>
      </c>
      <c r="BV10" s="18" t="e">
        <f>IF((BW4-BT10)&gt;0,(BW4-BT9)*BU10,0)</f>
        <v>#REF!</v>
      </c>
      <c r="BW10" s="99"/>
      <c r="BX10" s="53" t="s">
        <v>113</v>
      </c>
      <c r="BY10" s="17">
        <v>500000</v>
      </c>
      <c r="BZ10" s="22">
        <v>0.0002</v>
      </c>
      <c r="CA10" s="18">
        <f>IF((CB4-BY10)&gt;0,(CB4-BY9)*BZ10,0)</f>
        <v>0</v>
      </c>
      <c r="CB10" s="99"/>
      <c r="CC10" s="53" t="s">
        <v>113</v>
      </c>
      <c r="CD10" s="17">
        <v>100000</v>
      </c>
      <c r="CE10" s="22">
        <v>0.0001</v>
      </c>
      <c r="CF10" s="18">
        <f>IF((CG4-CD10)&gt;0,(CG4-CD9)*CE10,0)</f>
        <v>0</v>
      </c>
      <c r="CG10" s="99"/>
      <c r="CH10" s="38"/>
      <c r="CI10" s="79" t="s">
        <v>114</v>
      </c>
      <c r="CJ10" s="111" t="s">
        <v>115</v>
      </c>
      <c r="CK10" s="111"/>
      <c r="CL10" s="111"/>
      <c r="CM10" s="111"/>
      <c r="CN10" s="111"/>
      <c r="CO10" s="19" t="e">
        <f>(CJ4*CJ5+CK4*CK5+1/2*CL4*CL5+CO8+CO9)*CO6</f>
        <v>#N/A</v>
      </c>
      <c r="CP10" s="79" t="s">
        <v>114</v>
      </c>
      <c r="CQ10" s="111" t="s">
        <v>116</v>
      </c>
      <c r="CR10" s="111"/>
      <c r="CS10" s="111"/>
      <c r="CT10" s="111"/>
      <c r="CU10" s="111"/>
      <c r="CV10" s="19" t="e">
        <f>(CQ4*CQ5+CR4*CR5+1/2*CS4*CS5+CV8+CV9)*CV6</f>
        <v>#N/A</v>
      </c>
      <c r="CW10" s="79" t="s">
        <v>114</v>
      </c>
      <c r="CX10" s="111" t="s">
        <v>115</v>
      </c>
      <c r="CY10" s="111"/>
      <c r="CZ10" s="111"/>
      <c r="DA10" s="111"/>
      <c r="DB10" s="111"/>
      <c r="DC10" s="19" t="e">
        <f>(CX4*CX5+CY4*CY5+1/2*CZ4*CZ5+DC8+DC9)*DC6</f>
        <v>#N/A</v>
      </c>
      <c r="DD10" s="38"/>
      <c r="DE10" s="38"/>
      <c r="DF10" s="106" t="s">
        <v>2</v>
      </c>
      <c r="DG10" s="122" t="s">
        <v>117</v>
      </c>
      <c r="DH10" s="122" t="s">
        <v>53</v>
      </c>
      <c r="DI10" s="122" t="s">
        <v>118</v>
      </c>
      <c r="DJ10" s="132" t="s">
        <v>55</v>
      </c>
      <c r="DL10" s="138">
        <v>5</v>
      </c>
      <c r="DM10" s="146">
        <v>3000</v>
      </c>
      <c r="DN10" s="141">
        <v>5000</v>
      </c>
      <c r="DO10" s="147">
        <v>8.31</v>
      </c>
      <c r="DP10" s="142">
        <v>13.1</v>
      </c>
      <c r="DQ10" s="142" t="e">
        <f>IF(AND(DQ3&gt;DM10,DQ3&lt;=DN10),(DP10-DO10)/(DN10-DM10)*(DQ3-DM10)+DO10,0)</f>
        <v>#REF!</v>
      </c>
    </row>
    <row r="11" spans="1:124">
      <c r="A11" s="13">
        <v>5</v>
      </c>
      <c r="B11" s="20">
        <v>3000</v>
      </c>
      <c r="C11" s="20">
        <v>5000</v>
      </c>
      <c r="D11" s="21">
        <v>103.8</v>
      </c>
      <c r="E11" s="21">
        <v>163.9</v>
      </c>
      <c r="F11" s="18">
        <f>IF(AND(F4&gt;B11,F4&lt;=C11),(E11-D11)/(C11-B11)*(F4-B11)+D11,0)</f>
        <v>0</v>
      </c>
      <c r="G11" s="19">
        <f>IF(AND(G4&gt;B11,G4&lt;=C11),(E11-D11)/(C11-B11)*(G4-B11)+D11,0)</f>
        <v>0</v>
      </c>
      <c r="H11" s="13">
        <v>5</v>
      </c>
      <c r="I11" s="20">
        <v>3000</v>
      </c>
      <c r="J11" s="20">
        <v>5000</v>
      </c>
      <c r="K11" s="21">
        <v>103.8</v>
      </c>
      <c r="L11" s="21">
        <v>163.9</v>
      </c>
      <c r="M11" s="18">
        <f>IF(AND(M4&gt;I11,M4&lt;=J11),(L11-K11)/(J11-I11)*(M4-I11)+K11,0)</f>
        <v>0</v>
      </c>
      <c r="N11" s="19">
        <f>IF(AND(N4&gt;I11,N4&lt;=J11),(L11-K11)/(J11-I11)*(N4-I11)+K11,0)</f>
        <v>0</v>
      </c>
      <c r="O11" s="13">
        <v>5</v>
      </c>
      <c r="P11" s="20">
        <v>3000</v>
      </c>
      <c r="Q11" s="20">
        <v>5000</v>
      </c>
      <c r="R11" s="21">
        <v>103.8</v>
      </c>
      <c r="S11" s="21">
        <v>163.9</v>
      </c>
      <c r="T11" s="18">
        <f>IF(AND(T4&gt;P11,T4&lt;=Q11),(S11-R11)/(Q11-P11)*(T4-P11)+R11,0)</f>
        <v>0</v>
      </c>
      <c r="U11" s="19">
        <f>IF(AND(U4&gt;P11,U4&lt;=Q11),(S11-R11)/(Q11-P11)*(U4-P11)+R11,0)</f>
        <v>0</v>
      </c>
      <c r="V11" s="38"/>
      <c r="W11" s="13">
        <v>6</v>
      </c>
      <c r="X11" s="17">
        <v>5000</v>
      </c>
      <c r="Y11" s="17">
        <v>8000</v>
      </c>
      <c r="Z11" s="18">
        <v>163.9</v>
      </c>
      <c r="AA11" s="18">
        <v>249.6</v>
      </c>
      <c r="AB11" s="19">
        <f>IF(AND(AB3&gt;X11,AB3&lt;=Y11),(AA11-Z11)/(Y11-X11)*(AB3-X11)+Z11,0)</f>
        <v>0</v>
      </c>
      <c r="AC11" s="13">
        <v>6</v>
      </c>
      <c r="AD11" s="17">
        <v>5000</v>
      </c>
      <c r="AE11" s="17">
        <v>8000</v>
      </c>
      <c r="AF11" s="18">
        <v>163.9</v>
      </c>
      <c r="AG11" s="18">
        <v>249.6</v>
      </c>
      <c r="AH11" s="19">
        <f>IF(AND(AH3&gt;AD11,AH3&lt;=AE11),(AG11-AF11)/(AE11-AD11)*(AH3-AD11)+AF11,0)</f>
        <v>0</v>
      </c>
      <c r="AI11" s="13">
        <v>6</v>
      </c>
      <c r="AJ11" s="17">
        <v>5000</v>
      </c>
      <c r="AK11" s="17">
        <v>8000</v>
      </c>
      <c r="AL11" s="18">
        <v>163.9</v>
      </c>
      <c r="AM11" s="18">
        <v>249.6</v>
      </c>
      <c r="AN11" s="19">
        <f>IF(AND(AN3&gt;AJ11,AN3&lt;=AK11),(AM11-AL11)/(AK11-AJ11)*(AN3-AJ11)+AL11,0)</f>
        <v>0</v>
      </c>
      <c r="AO11" s="38"/>
      <c r="AP11" s="13">
        <v>6</v>
      </c>
      <c r="AQ11" s="50">
        <v>7000</v>
      </c>
      <c r="AR11" s="50">
        <v>10000</v>
      </c>
      <c r="AS11" s="22">
        <v>0.022</v>
      </c>
      <c r="AT11" s="22">
        <v>0.019</v>
      </c>
      <c r="AU11" s="22">
        <f>IF(AND(AV3&gt;=AQ11,AV3&lt;AR11),(AS11-(AS11-AT11)/(AR11-AQ11)*(AV3-AQ11)),0)</f>
        <v>0</v>
      </c>
      <c r="AV11" s="19">
        <f>AV3*AU11</f>
        <v>0</v>
      </c>
      <c r="AW11" s="13">
        <v>6</v>
      </c>
      <c r="AX11" s="50">
        <v>7000</v>
      </c>
      <c r="AY11" s="50">
        <v>10000</v>
      </c>
      <c r="AZ11" s="22">
        <v>0.022</v>
      </c>
      <c r="BA11" s="22">
        <v>0.019</v>
      </c>
      <c r="BB11" s="22">
        <f>IF(AND(BC3&gt;=AX11,BC3&lt;AY11),(AZ11-(AZ11-BA11)/(AY11-AX11)*(BC3-AX11)),0)</f>
        <v>0</v>
      </c>
      <c r="BC11" s="19">
        <f>BC3*BB11</f>
        <v>0</v>
      </c>
      <c r="BD11" s="13">
        <v>6</v>
      </c>
      <c r="BE11" s="50">
        <v>7000</v>
      </c>
      <c r="BF11" s="50">
        <v>10000</v>
      </c>
      <c r="BG11" s="22">
        <v>0.022</v>
      </c>
      <c r="BH11" s="22">
        <v>0.019</v>
      </c>
      <c r="BI11" s="22">
        <f>IF(AND(BJ3&gt;=BE11,BJ3&lt;BF11),(BG11-(BG11-BH11)/(BF11-BE11)*(BJ3-BE11)),0)</f>
        <v>0</v>
      </c>
      <c r="BJ11" s="19">
        <f>BJ3*BI11</f>
        <v>0</v>
      </c>
      <c r="BK11" s="70"/>
      <c r="BL11" s="69">
        <v>6</v>
      </c>
      <c r="BM11" s="81">
        <v>500000</v>
      </c>
      <c r="BN11" s="81">
        <v>2000000</v>
      </c>
      <c r="BO11" s="82">
        <v>100</v>
      </c>
      <c r="BP11" s="82">
        <v>125</v>
      </c>
      <c r="BQ11" s="82" t="e">
        <f>IF(AND(BQ3&gt;BM11,BQ3&lt;=BN11),(BP11-BO11)/(BN11-BM11)*(BQ3-BM11)+BO11,0)</f>
        <v>#REF!</v>
      </c>
      <c r="BR11" s="38"/>
      <c r="BS11" s="85"/>
      <c r="BT11" s="32" t="s">
        <v>119</v>
      </c>
      <c r="BU11" s="32"/>
      <c r="BV11" s="101" t="e">
        <f>SUM(BV4:BV10)</f>
        <v>#REF!</v>
      </c>
      <c r="BW11" s="102" t="e">
        <f>BV11</f>
        <v>#REF!</v>
      </c>
      <c r="BX11" s="85"/>
      <c r="BY11" s="32" t="s">
        <v>119</v>
      </c>
      <c r="BZ11" s="32"/>
      <c r="CA11" s="101">
        <f>SUM(CA4:CA10)</f>
        <v>0</v>
      </c>
      <c r="CB11" s="102">
        <f>CA11</f>
        <v>0</v>
      </c>
      <c r="CC11" s="85"/>
      <c r="CD11" s="32" t="s">
        <v>119</v>
      </c>
      <c r="CE11" s="32"/>
      <c r="CF11" s="101">
        <f>SUM(CF4:CF10)</f>
        <v>0</v>
      </c>
      <c r="CG11" s="102">
        <f>CF11</f>
        <v>0</v>
      </c>
      <c r="CH11" s="38"/>
      <c r="CI11" s="79" t="s">
        <v>120</v>
      </c>
      <c r="CJ11" s="112" t="s">
        <v>121</v>
      </c>
      <c r="CK11" s="111"/>
      <c r="CL11" s="111"/>
      <c r="CM11" s="111"/>
      <c r="CN11" s="111"/>
      <c r="CO11" s="19" t="e">
        <f>(CJ4*CJ5+CK4*CK5+CL4*CL5+1/2*CM4*CM5+CO8+CO9+CO10)*CO6</f>
        <v>#N/A</v>
      </c>
      <c r="CP11" s="79" t="s">
        <v>120</v>
      </c>
      <c r="CQ11" s="112" t="s">
        <v>122</v>
      </c>
      <c r="CR11" s="111"/>
      <c r="CS11" s="111"/>
      <c r="CT11" s="111"/>
      <c r="CU11" s="111"/>
      <c r="CV11" s="19" t="e">
        <f>(CQ4*CQ5+CR4*CR5+CS4*CS5+1/2*CT4*CT5+CV8+CV9+CV10)*CV6</f>
        <v>#N/A</v>
      </c>
      <c r="CW11" s="79" t="s">
        <v>120</v>
      </c>
      <c r="CX11" s="112" t="s">
        <v>121</v>
      </c>
      <c r="CY11" s="111"/>
      <c r="CZ11" s="111"/>
      <c r="DA11" s="111"/>
      <c r="DB11" s="111"/>
      <c r="DC11" s="19" t="e">
        <f>(CX4*CX5+CY4*CY5+CZ4*CZ5+1/2*DA4*DA5+DC8+DC9+DC10)*DC6</f>
        <v>#N/A</v>
      </c>
      <c r="DD11" s="38"/>
      <c r="DE11" s="38"/>
      <c r="DF11" s="13">
        <v>1</v>
      </c>
      <c r="DG11" s="17">
        <v>500</v>
      </c>
      <c r="DH11" s="22">
        <v>0.033</v>
      </c>
      <c r="DI11" s="133" t="e">
        <f>SUM([1]估算总表!CG5)</f>
        <v>#REF!</v>
      </c>
      <c r="DJ11" s="134" t="e">
        <f t="shared" ref="DJ11:DJ21" si="0">DH11-(DI11-DG11)*(DH11-DH12)/(DG12-DG11)</f>
        <v>#REF!</v>
      </c>
      <c r="DL11" s="138">
        <v>6</v>
      </c>
      <c r="DM11" s="141">
        <v>5000</v>
      </c>
      <c r="DN11" s="141">
        <v>8000</v>
      </c>
      <c r="DO11" s="142">
        <v>13.1</v>
      </c>
      <c r="DP11" s="142">
        <v>20</v>
      </c>
      <c r="DQ11" s="142" t="e">
        <f>IF(AND(DQ3&gt;DM11,DQ3&lt;=DN11),(DP11-DO11)/(DN11-DM11)*(DQ3-DM11)+DO11,0)</f>
        <v>#REF!</v>
      </c>
      <c r="DT11">
        <f>0.36/100</f>
        <v>0.0036</v>
      </c>
    </row>
    <row r="12" spans="1:121">
      <c r="A12" s="13">
        <v>6</v>
      </c>
      <c r="B12" s="17">
        <v>5000</v>
      </c>
      <c r="C12" s="17">
        <v>8000</v>
      </c>
      <c r="D12" s="18">
        <v>163.9</v>
      </c>
      <c r="E12" s="18">
        <v>249.6</v>
      </c>
      <c r="F12" s="18">
        <f>IF(AND(F4&gt;B12,F4&lt;=C12),(E12-D12)/(C12-B12)*(F4-B12)+D12,0)</f>
        <v>0</v>
      </c>
      <c r="G12" s="19">
        <f>IF(AND(G4&gt;B12,G4&lt;=C12),(E12-D12)/(C12-B12)*(G4-B12)+D12,0)</f>
        <v>0</v>
      </c>
      <c r="H12" s="13">
        <v>6</v>
      </c>
      <c r="I12" s="17">
        <v>5000</v>
      </c>
      <c r="J12" s="17">
        <v>8000</v>
      </c>
      <c r="K12" s="18">
        <v>163.9</v>
      </c>
      <c r="L12" s="18">
        <v>249.6</v>
      </c>
      <c r="M12" s="18">
        <f>IF(AND(M4&gt;I12,M4&lt;=J12),(L12-K12)/(J12-I12)*(M4-I12)+K12,0)</f>
        <v>0</v>
      </c>
      <c r="N12" s="19">
        <f>IF(AND(N4&gt;I12,N4&lt;=J12),(L12-K12)/(J12-I12)*(N4-I12)+K12,0)</f>
        <v>0</v>
      </c>
      <c r="O12" s="13">
        <v>6</v>
      </c>
      <c r="P12" s="17">
        <v>5000</v>
      </c>
      <c r="Q12" s="17">
        <v>8000</v>
      </c>
      <c r="R12" s="18">
        <v>163.9</v>
      </c>
      <c r="S12" s="18">
        <v>249.6</v>
      </c>
      <c r="T12" s="18">
        <f>IF(AND(T4&gt;P12,T4&lt;=Q12),(S12-R12)/(Q12-P12)*(T4-P12)+R12,0)</f>
        <v>0</v>
      </c>
      <c r="U12" s="19">
        <f>IF(AND(U4&gt;P12,U4&lt;=Q12),(S12-R12)/(Q12-P12)*(U4-P12)+R12,0)</f>
        <v>0</v>
      </c>
      <c r="V12" s="38"/>
      <c r="W12" s="13">
        <v>7</v>
      </c>
      <c r="X12" s="17">
        <v>8000</v>
      </c>
      <c r="Y12" s="17">
        <v>10000</v>
      </c>
      <c r="Z12" s="18">
        <v>249.6</v>
      </c>
      <c r="AA12" s="18">
        <v>304.8</v>
      </c>
      <c r="AB12" s="19">
        <f>IF(AND(AB3&gt;X12,AB3&lt;=Y12),(AA12-Z12)/(Y12-X12)*(AB3-X12)+Z12,0)</f>
        <v>0</v>
      </c>
      <c r="AC12" s="13">
        <v>7</v>
      </c>
      <c r="AD12" s="17">
        <v>8000</v>
      </c>
      <c r="AE12" s="17">
        <v>10000</v>
      </c>
      <c r="AF12" s="18">
        <v>249.6</v>
      </c>
      <c r="AG12" s="18">
        <v>304.8</v>
      </c>
      <c r="AH12" s="19">
        <f>IF(AND(AH3&gt;AD12,AH3&lt;=AE12),(AG12-AF12)/(AE12-AD12)*(AH3-AD12)+AF12,0)</f>
        <v>0</v>
      </c>
      <c r="AI12" s="13">
        <v>7</v>
      </c>
      <c r="AJ12" s="17">
        <v>8000</v>
      </c>
      <c r="AK12" s="17">
        <v>10000</v>
      </c>
      <c r="AL12" s="18">
        <v>249.6</v>
      </c>
      <c r="AM12" s="18">
        <v>304.8</v>
      </c>
      <c r="AN12" s="19">
        <f>IF(AND(AN3&gt;AJ12,AN3&lt;=AK12),(AM12-AL12)/(AK12-AJ12)*(AN3-AJ12)+AL12,0)</f>
        <v>0</v>
      </c>
      <c r="AO12" s="38"/>
      <c r="AP12" s="13">
        <v>7</v>
      </c>
      <c r="AQ12" s="50">
        <v>10000</v>
      </c>
      <c r="AR12" s="50">
        <v>20000</v>
      </c>
      <c r="AS12" s="22">
        <v>0.019</v>
      </c>
      <c r="AT12" s="22">
        <v>0.017</v>
      </c>
      <c r="AU12" s="22">
        <f>IF(AND(AV3&gt;=AQ12,AV3&lt;AR12),(AS12-(AS12-AT12)/(AR12-AQ12)*(AV3-AQ12)),0)</f>
        <v>0</v>
      </c>
      <c r="AV12" s="19">
        <f>AV3*AU12</f>
        <v>0</v>
      </c>
      <c r="AW12" s="13">
        <v>7</v>
      </c>
      <c r="AX12" s="50">
        <v>10000</v>
      </c>
      <c r="AY12" s="50">
        <v>20000</v>
      </c>
      <c r="AZ12" s="22">
        <v>0.019</v>
      </c>
      <c r="BA12" s="22">
        <v>0.017</v>
      </c>
      <c r="BB12" s="22">
        <f>IF(AND(BC3&gt;=AX12,BC3&lt;AY12),(AZ12-(AZ12-BA12)/(AY12-AX12)*(BC3-AX12)),0)</f>
        <v>0</v>
      </c>
      <c r="BC12" s="19">
        <f>BC3*BB12</f>
        <v>0</v>
      </c>
      <c r="BD12" s="13">
        <v>7</v>
      </c>
      <c r="BE12" s="50">
        <v>10000</v>
      </c>
      <c r="BF12" s="50">
        <v>20000</v>
      </c>
      <c r="BG12" s="22">
        <v>0.019</v>
      </c>
      <c r="BH12" s="22">
        <v>0.017</v>
      </c>
      <c r="BI12" s="22">
        <f>IF(AND(BJ3&gt;=BE12,BJ3&lt;BF12),(BG12-(BG12-BH12)/(BF12-BE12)*(BJ3-BE12)),0)</f>
        <v>0</v>
      </c>
      <c r="BJ12" s="19">
        <f>BJ3*BI12</f>
        <v>0</v>
      </c>
      <c r="BK12" s="70"/>
      <c r="BL12" s="71"/>
      <c r="BM12" s="86"/>
      <c r="BN12" s="86"/>
      <c r="BO12" s="86"/>
      <c r="BP12" s="87"/>
      <c r="BQ12" s="82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79" t="s">
        <v>123</v>
      </c>
      <c r="CJ12" s="111"/>
      <c r="CK12" s="111"/>
      <c r="CL12" s="111"/>
      <c r="CM12" s="111"/>
      <c r="CN12" s="111"/>
      <c r="CO12" s="19" t="e">
        <f>(CJ4*CJ5+CK4*CK5+CL4*CL5+CM4*CM5+CN4*CN5/2+CO8+CO9+CO10+CO11)*CO6</f>
        <v>#N/A</v>
      </c>
      <c r="CP12" s="79" t="s">
        <v>123</v>
      </c>
      <c r="CQ12" s="111"/>
      <c r="CR12" s="111"/>
      <c r="CS12" s="111"/>
      <c r="CT12" s="111"/>
      <c r="CU12" s="111"/>
      <c r="CV12" s="19"/>
      <c r="CW12" s="79" t="s">
        <v>123</v>
      </c>
      <c r="CX12" s="111"/>
      <c r="CY12" s="111"/>
      <c r="CZ12" s="111"/>
      <c r="DA12" s="111"/>
      <c r="DB12" s="111"/>
      <c r="DC12" s="19"/>
      <c r="DD12" s="38"/>
      <c r="DE12" s="38"/>
      <c r="DF12" s="13">
        <v>2</v>
      </c>
      <c r="DG12" s="17">
        <v>1000</v>
      </c>
      <c r="DH12" s="22">
        <v>0.029</v>
      </c>
      <c r="DI12" s="133" t="e">
        <f>SUM([1]估算总表!CG5)</f>
        <v>#REF!</v>
      </c>
      <c r="DJ12" s="134" t="e">
        <f t="shared" si="0"/>
        <v>#REF!</v>
      </c>
      <c r="DL12" s="138">
        <v>7</v>
      </c>
      <c r="DM12" s="141">
        <v>8000</v>
      </c>
      <c r="DN12" s="141">
        <v>10000</v>
      </c>
      <c r="DO12" s="142">
        <v>20</v>
      </c>
      <c r="DP12" s="142">
        <v>24.4</v>
      </c>
      <c r="DQ12" s="142" t="e">
        <f>IF(AND(DQ3&gt;DM12,DQ3&lt;=DN12),(DP12-DO12)/(DN12-DM12)*(DQ3-DM12)+DO12,0)</f>
        <v>#REF!</v>
      </c>
    </row>
    <row r="13" spans="1:121">
      <c r="A13" s="13">
        <v>7</v>
      </c>
      <c r="B13" s="17">
        <v>8000</v>
      </c>
      <c r="C13" s="17">
        <v>10000</v>
      </c>
      <c r="D13" s="18">
        <v>249.6</v>
      </c>
      <c r="E13" s="18">
        <v>304.8</v>
      </c>
      <c r="F13" s="18">
        <f>IF(AND(F4&gt;B13,F4&lt;=C13),(E13-D13)/(C13-B13)*(F4-B13)+D13,0)</f>
        <v>0</v>
      </c>
      <c r="G13" s="19">
        <f>IF(AND(G4&gt;B13,G4&lt;=C13),(E13-D13)/(C13-B13)*(G4-B13)+D13,0)</f>
        <v>0</v>
      </c>
      <c r="H13" s="13">
        <v>7</v>
      </c>
      <c r="I13" s="17">
        <v>8000</v>
      </c>
      <c r="J13" s="17">
        <v>10000</v>
      </c>
      <c r="K13" s="18">
        <v>249.6</v>
      </c>
      <c r="L13" s="18">
        <v>304.8</v>
      </c>
      <c r="M13" s="18">
        <f>IF(AND(M4&gt;I13,M4&lt;=J13),(L13-K13)/(J13-I13)*(M4-I13)+K13,0)</f>
        <v>0</v>
      </c>
      <c r="N13" s="19">
        <f>IF(AND(N4&gt;I13,N4&lt;=J13),(L13-K13)/(J13-I13)*(N4-I13)+K13,0)</f>
        <v>0</v>
      </c>
      <c r="O13" s="13">
        <v>7</v>
      </c>
      <c r="P13" s="17">
        <v>8000</v>
      </c>
      <c r="Q13" s="17">
        <v>10000</v>
      </c>
      <c r="R13" s="18">
        <v>249.6</v>
      </c>
      <c r="S13" s="18">
        <v>304.8</v>
      </c>
      <c r="T13" s="18">
        <f>IF(AND(T4&gt;P13,T4&lt;=Q13),(S13-R13)/(Q13-P13)*(T4-P13)+R13,0)</f>
        <v>0</v>
      </c>
      <c r="U13" s="19">
        <f>IF(AND(U4&gt;P13,U4&lt;=Q13),(S13-R13)/(Q13-P13)*(U4-P13)+R13,0)</f>
        <v>0</v>
      </c>
      <c r="V13" s="38"/>
      <c r="W13" s="13">
        <v>8</v>
      </c>
      <c r="X13" s="17">
        <v>10000</v>
      </c>
      <c r="Y13" s="17">
        <v>20000</v>
      </c>
      <c r="Z13" s="18">
        <v>304.8</v>
      </c>
      <c r="AA13" s="18">
        <v>566.8</v>
      </c>
      <c r="AB13" s="19">
        <f>IF(AND(AB3&gt;X13,AB3&lt;=Y13),(AA13-Z13)/(Y13-X13)*(AB3-X13)+Z13,0)</f>
        <v>0</v>
      </c>
      <c r="AC13" s="13">
        <v>8</v>
      </c>
      <c r="AD13" s="17">
        <v>10000</v>
      </c>
      <c r="AE13" s="17">
        <v>20000</v>
      </c>
      <c r="AF13" s="18">
        <v>304.8</v>
      </c>
      <c r="AG13" s="18">
        <v>566.8</v>
      </c>
      <c r="AH13" s="19">
        <f>IF(AND(AH3&gt;AD13,AH3&lt;=AE13),(AG13-AF13)/(AE13-AD13)*(AH3-AD13)+AF13,0)</f>
        <v>0</v>
      </c>
      <c r="AI13" s="13">
        <v>8</v>
      </c>
      <c r="AJ13" s="17">
        <v>10000</v>
      </c>
      <c r="AK13" s="17">
        <v>20000</v>
      </c>
      <c r="AL13" s="18">
        <v>304.8</v>
      </c>
      <c r="AM13" s="18">
        <v>566.8</v>
      </c>
      <c r="AN13" s="19">
        <f>IF(AND(AN3&gt;AJ13,AN3&lt;=AK13),(AM13-AL13)/(AK13-AJ13)*(AN3-AJ13)+AL13,0)</f>
        <v>0</v>
      </c>
      <c r="AO13" s="38"/>
      <c r="AP13" s="13">
        <v>8</v>
      </c>
      <c r="AQ13" s="50">
        <v>20000</v>
      </c>
      <c r="AR13" s="50">
        <v>30000</v>
      </c>
      <c r="AS13" s="22">
        <v>0.017</v>
      </c>
      <c r="AT13" s="22">
        <v>0.015</v>
      </c>
      <c r="AU13" s="22">
        <f>IF(AND(AV3&gt;=AQ13,AV3&lt;AR13),(AS13-(AS13-AT13)/(AR13-AQ13)*(AV3-AQ13)),0)</f>
        <v>0</v>
      </c>
      <c r="AV13" s="19">
        <f>AV3*AU13</f>
        <v>0</v>
      </c>
      <c r="AW13" s="13">
        <v>8</v>
      </c>
      <c r="AX13" s="50">
        <v>20000</v>
      </c>
      <c r="AY13" s="50">
        <v>30000</v>
      </c>
      <c r="AZ13" s="22">
        <v>0.017</v>
      </c>
      <c r="BA13" s="22">
        <v>0.015</v>
      </c>
      <c r="BB13" s="22">
        <f>IF(AND(BC3&gt;=AX13,BC3&lt;AY13),(AZ13-(AZ13-BA13)/(AY13-AX13)*(BC3-AX13)),0)</f>
        <v>0</v>
      </c>
      <c r="BC13" s="19">
        <f>BC3*BB13</f>
        <v>0</v>
      </c>
      <c r="BD13" s="13">
        <v>8</v>
      </c>
      <c r="BE13" s="50">
        <v>20000</v>
      </c>
      <c r="BF13" s="50">
        <v>30000</v>
      </c>
      <c r="BG13" s="22">
        <v>0.017</v>
      </c>
      <c r="BH13" s="22">
        <v>0.015</v>
      </c>
      <c r="BI13" s="22">
        <f>IF(AND(BJ3&gt;=BE13,BJ3&lt;BF13),(BG13-(BG13-BH13)/(BF13-BE13)*(BJ3-BE13)),0)</f>
        <v>0</v>
      </c>
      <c r="BJ13" s="19">
        <f>BJ3*BI13</f>
        <v>0</v>
      </c>
      <c r="BK13" s="72"/>
      <c r="BL13" s="73" t="s">
        <v>86</v>
      </c>
      <c r="BM13" s="88"/>
      <c r="BN13" s="88"/>
      <c r="BO13" s="89"/>
      <c r="BP13" s="82"/>
      <c r="BQ13" s="82" t="e">
        <f>SUM(BQ6:BQ11)</f>
        <v>#REF!</v>
      </c>
      <c r="BR13" s="38"/>
      <c r="BS13" s="47" t="s">
        <v>124</v>
      </c>
      <c r="BT13" s="1"/>
      <c r="BU13" s="1"/>
      <c r="BV13" s="1"/>
      <c r="BW13" s="93"/>
      <c r="BX13" s="47" t="s">
        <v>124</v>
      </c>
      <c r="BY13" s="1"/>
      <c r="BZ13" s="1"/>
      <c r="CA13" s="1"/>
      <c r="CB13" s="1"/>
      <c r="CC13" s="47" t="s">
        <v>124</v>
      </c>
      <c r="CD13" s="1"/>
      <c r="CE13" s="1"/>
      <c r="CF13" s="1"/>
      <c r="CG13" s="1"/>
      <c r="CH13" s="38"/>
      <c r="CI13" s="13" t="s">
        <v>78</v>
      </c>
      <c r="CJ13" s="15" t="s">
        <v>78</v>
      </c>
      <c r="CK13" s="15"/>
      <c r="CL13" s="15"/>
      <c r="CM13" s="15"/>
      <c r="CN13" s="15"/>
      <c r="CO13" s="99" t="s">
        <v>78</v>
      </c>
      <c r="CP13" s="13" t="s">
        <v>78</v>
      </c>
      <c r="CQ13" s="15" t="s">
        <v>78</v>
      </c>
      <c r="CR13" s="15"/>
      <c r="CS13" s="15"/>
      <c r="CT13" s="15"/>
      <c r="CU13" s="15"/>
      <c r="CV13" s="99" t="s">
        <v>78</v>
      </c>
      <c r="CW13" s="13" t="s">
        <v>78</v>
      </c>
      <c r="CX13" s="15" t="s">
        <v>78</v>
      </c>
      <c r="CY13" s="15"/>
      <c r="CZ13" s="15"/>
      <c r="DA13" s="15"/>
      <c r="DB13" s="15"/>
      <c r="DC13" s="99" t="s">
        <v>78</v>
      </c>
      <c r="DD13" s="38"/>
      <c r="DE13" s="38"/>
      <c r="DF13" s="13">
        <v>3</v>
      </c>
      <c r="DG13" s="17">
        <v>3000</v>
      </c>
      <c r="DH13" s="22">
        <v>0.026</v>
      </c>
      <c r="DI13" s="137" t="e">
        <f>SUM([3]概算总表03.7.29!DE4)</f>
        <v>#REF!</v>
      </c>
      <c r="DJ13" s="134" t="e">
        <f t="shared" si="0"/>
        <v>#REF!</v>
      </c>
      <c r="DL13" s="138">
        <v>8</v>
      </c>
      <c r="DM13" s="141">
        <v>10000</v>
      </c>
      <c r="DN13" s="141">
        <v>20000</v>
      </c>
      <c r="DO13" s="142">
        <v>24.4</v>
      </c>
      <c r="DP13" s="142">
        <v>45.2</v>
      </c>
      <c r="DQ13" s="142" t="e">
        <f>IF(AND(DQ3&gt;DM13,DQ3&lt;=DN13),(DP13-DO13)/(DN13-DM13)*(DQ3-DM13)+DO13,0)</f>
        <v>#REF!</v>
      </c>
    </row>
    <row r="14" spans="1:121">
      <c r="A14" s="13">
        <v>8</v>
      </c>
      <c r="B14" s="17">
        <v>10000</v>
      </c>
      <c r="C14" s="17">
        <v>20000</v>
      </c>
      <c r="D14" s="18">
        <v>304.8</v>
      </c>
      <c r="E14" s="18">
        <v>566.8</v>
      </c>
      <c r="F14" s="18">
        <f>IF(AND(F4&gt;B14,F4&lt;=C14),(E14-D14)/(C14-B14)*(F4-B14)+D14,0)</f>
        <v>0</v>
      </c>
      <c r="G14" s="19">
        <f>IF(AND(G4&gt;B14,G4&lt;=C14),(E14-D14)/(C14-B14)*(G4-B14)+D14,0)</f>
        <v>0</v>
      </c>
      <c r="H14" s="13">
        <v>8</v>
      </c>
      <c r="I14" s="17">
        <v>10000</v>
      </c>
      <c r="J14" s="17">
        <v>20000</v>
      </c>
      <c r="K14" s="18">
        <v>304.8</v>
      </c>
      <c r="L14" s="18">
        <v>566.8</v>
      </c>
      <c r="M14" s="18">
        <f>IF(AND(M4&gt;I14,M4&lt;=J14),(L14-K14)/(J14-I14)*(M4-I14)+K14,0)</f>
        <v>0</v>
      </c>
      <c r="N14" s="19">
        <f>IF(AND(N4&gt;I14,N4&lt;=J14),(L14-K14)/(J14-I14)*(N4-I14)+K14,0)</f>
        <v>0</v>
      </c>
      <c r="O14" s="13">
        <v>8</v>
      </c>
      <c r="P14" s="17">
        <v>10000</v>
      </c>
      <c r="Q14" s="17">
        <v>20000</v>
      </c>
      <c r="R14" s="18">
        <v>304.8</v>
      </c>
      <c r="S14" s="18">
        <v>566.8</v>
      </c>
      <c r="T14" s="18">
        <f>IF(AND(T4&gt;P14,T4&lt;=Q14),(S14-R14)/(Q14-P14)*(T4-P14)+R14,0)</f>
        <v>0</v>
      </c>
      <c r="U14" s="19">
        <f>IF(AND(U4&gt;P14,U4&lt;=Q14),(S14-R14)/(Q14-P14)*(U4-P14)+R14,0)</f>
        <v>0</v>
      </c>
      <c r="V14" s="38"/>
      <c r="W14" s="13">
        <v>9</v>
      </c>
      <c r="X14" s="17">
        <v>20000</v>
      </c>
      <c r="Y14" s="17">
        <v>40000</v>
      </c>
      <c r="Z14" s="18">
        <v>566.8</v>
      </c>
      <c r="AA14" s="18">
        <v>1054</v>
      </c>
      <c r="AB14" s="19">
        <f>IF(AND(AB3&gt;X14,AB3&lt;=Y14),(AA14-Z14)/(Y14-X14)*(AB3-X14)+Z14,0)</f>
        <v>0</v>
      </c>
      <c r="AC14" s="13">
        <v>9</v>
      </c>
      <c r="AD14" s="17">
        <v>20000</v>
      </c>
      <c r="AE14" s="17">
        <v>40000</v>
      </c>
      <c r="AF14" s="18">
        <v>566.8</v>
      </c>
      <c r="AG14" s="18">
        <v>1054</v>
      </c>
      <c r="AH14" s="19">
        <f>IF(AND(AH3&gt;AD14,AH3&lt;=AE14),(AG14-AF14)/(AE14-AD14)*(AH3-AD14)+AF14,0)</f>
        <v>0</v>
      </c>
      <c r="AI14" s="13">
        <v>9</v>
      </c>
      <c r="AJ14" s="17">
        <v>20000</v>
      </c>
      <c r="AK14" s="17">
        <v>40000</v>
      </c>
      <c r="AL14" s="18">
        <v>566.8</v>
      </c>
      <c r="AM14" s="18">
        <v>1054</v>
      </c>
      <c r="AN14" s="19">
        <f>IF(AND(AN3&gt;AJ14,AN3&lt;=AK14),(AM14-AL14)/(AK14-AJ14)*(AN3-AJ14)+AL14,0)</f>
        <v>0</v>
      </c>
      <c r="AO14" s="38"/>
      <c r="AP14" s="13">
        <v>9</v>
      </c>
      <c r="AQ14" s="50">
        <v>30000</v>
      </c>
      <c r="AR14" s="50">
        <v>50000</v>
      </c>
      <c r="AS14" s="22">
        <v>0.015</v>
      </c>
      <c r="AT14" s="22">
        <v>0.013</v>
      </c>
      <c r="AU14" s="22">
        <f>IF(AND(AV3&gt;=AQ14,AV3&lt;AR14),(AS14-(AS14-AT14)/(AR14-AQ14)*(AV3-AQ14)),0)</f>
        <v>0</v>
      </c>
      <c r="AV14" s="19">
        <f>AV3*AU14</f>
        <v>0</v>
      </c>
      <c r="AW14" s="13">
        <v>9</v>
      </c>
      <c r="AX14" s="50">
        <v>30000</v>
      </c>
      <c r="AY14" s="50">
        <v>50000</v>
      </c>
      <c r="AZ14" s="22">
        <v>0.015</v>
      </c>
      <c r="BA14" s="22">
        <v>0.013</v>
      </c>
      <c r="BB14" s="22">
        <f>IF(AND(BC3&gt;=AX14,BC3&lt;AY14),(AZ14-(AZ14-BA14)/(AY14-AX14)*(BC3-AX14)),0)</f>
        <v>0</v>
      </c>
      <c r="BC14" s="19">
        <f>BC3*BB14</f>
        <v>0</v>
      </c>
      <c r="BD14" s="13">
        <v>9</v>
      </c>
      <c r="BE14" s="50">
        <v>30000</v>
      </c>
      <c r="BF14" s="50">
        <v>50000</v>
      </c>
      <c r="BG14" s="22">
        <v>0.015</v>
      </c>
      <c r="BH14" s="22">
        <v>0.013</v>
      </c>
      <c r="BI14" s="22">
        <f>IF(AND(BJ3&gt;=BE14,BJ3&lt;BF14),(BG14-(BG14-BH14)/(BF14-BE14)*(BJ3-BE14)),0)</f>
        <v>0</v>
      </c>
      <c r="BJ14" s="19">
        <f>BJ3*BI14</f>
        <v>0</v>
      </c>
      <c r="BK14" s="39"/>
      <c r="BL14" s="73" t="s">
        <v>125</v>
      </c>
      <c r="BM14" s="88"/>
      <c r="BN14" s="88"/>
      <c r="BO14" s="89"/>
      <c r="BP14" s="82">
        <v>0.8</v>
      </c>
      <c r="BQ14" s="82" t="e">
        <f>BQ13*(BP14-1)</f>
        <v>#REF!</v>
      </c>
      <c r="BR14" s="38"/>
      <c r="BS14" s="65" t="s">
        <v>126</v>
      </c>
      <c r="BT14" s="65"/>
      <c r="BU14" s="65"/>
      <c r="BV14" s="65"/>
      <c r="BW14" s="65"/>
      <c r="BX14" s="65" t="s">
        <v>126</v>
      </c>
      <c r="BY14" s="65"/>
      <c r="BZ14" s="65"/>
      <c r="CA14" s="65"/>
      <c r="CB14" s="65"/>
      <c r="CC14" s="65" t="s">
        <v>126</v>
      </c>
      <c r="CD14" s="65"/>
      <c r="CE14" s="65"/>
      <c r="CF14" s="65"/>
      <c r="CG14" s="65"/>
      <c r="CH14" s="38"/>
      <c r="CI14" s="79"/>
      <c r="CJ14" s="15"/>
      <c r="CK14" s="15"/>
      <c r="CL14" s="15"/>
      <c r="CM14" s="15"/>
      <c r="CN14" s="15"/>
      <c r="CO14" s="99"/>
      <c r="CP14" s="79"/>
      <c r="CQ14" s="15"/>
      <c r="CR14" s="15"/>
      <c r="CS14" s="15"/>
      <c r="CT14" s="15"/>
      <c r="CU14" s="15"/>
      <c r="CV14" s="99"/>
      <c r="CW14" s="79"/>
      <c r="CX14" s="15"/>
      <c r="CY14" s="15"/>
      <c r="CZ14" s="15"/>
      <c r="DA14" s="15"/>
      <c r="DB14" s="15"/>
      <c r="DC14" s="99"/>
      <c r="DD14" s="38"/>
      <c r="DE14" s="38"/>
      <c r="DF14" s="13">
        <v>4</v>
      </c>
      <c r="DG14" s="17">
        <v>5000</v>
      </c>
      <c r="DH14" s="22">
        <v>0.024</v>
      </c>
      <c r="DI14" s="137">
        <v>5000</v>
      </c>
      <c r="DJ14" s="134">
        <f t="shared" si="0"/>
        <v>0.024</v>
      </c>
      <c r="DL14" s="138">
        <v>9</v>
      </c>
      <c r="DM14" s="141">
        <v>20000</v>
      </c>
      <c r="DN14" s="141">
        <v>40000</v>
      </c>
      <c r="DO14" s="142">
        <v>45.2</v>
      </c>
      <c r="DP14" s="142">
        <v>84.4</v>
      </c>
      <c r="DQ14" s="142" t="e">
        <f>IF(AND(DQ3&gt;DM14,DQ3&lt;=DN14),(DP14-DO14)/(DN14-DM14)*(DQ3-DM14)+DO14,0)</f>
        <v>#REF!</v>
      </c>
    </row>
    <row r="15" spans="1:121">
      <c r="A15" s="13">
        <v>9</v>
      </c>
      <c r="B15" s="17">
        <v>20000</v>
      </c>
      <c r="C15" s="17">
        <v>40000</v>
      </c>
      <c r="D15" s="18">
        <v>566.8</v>
      </c>
      <c r="E15" s="18">
        <v>1054</v>
      </c>
      <c r="F15" s="18">
        <f>IF(AND(F4&gt;B15,F4&lt;=C15),(E15-D15)/(C15-B15)*(F4-B15)+D15,0)</f>
        <v>0</v>
      </c>
      <c r="G15" s="19">
        <f>IF(AND(G4&gt;B15,G4&lt;=C15),(E15-D15)/(C15-B15)*(G4-B15)+D15,0)</f>
        <v>0</v>
      </c>
      <c r="H15" s="13">
        <v>9</v>
      </c>
      <c r="I15" s="17">
        <v>20000</v>
      </c>
      <c r="J15" s="17">
        <v>40000</v>
      </c>
      <c r="K15" s="18">
        <v>566.8</v>
      </c>
      <c r="L15" s="18">
        <v>1054</v>
      </c>
      <c r="M15" s="18">
        <f>IF(AND(M4&gt;I15,M4&lt;=J15),(L15-K15)/(J15-I15)*(M4-I15)+K15,0)</f>
        <v>0</v>
      </c>
      <c r="N15" s="19">
        <f>IF(AND(N4&gt;I15,N4&lt;=J15),(L15-K15)/(J15-I15)*(N4-I15)+K15,0)</f>
        <v>0</v>
      </c>
      <c r="O15" s="13">
        <v>9</v>
      </c>
      <c r="P15" s="17">
        <v>20000</v>
      </c>
      <c r="Q15" s="17">
        <v>40000</v>
      </c>
      <c r="R15" s="18">
        <v>566.8</v>
      </c>
      <c r="S15" s="18">
        <v>1054</v>
      </c>
      <c r="T15" s="18">
        <f>IF(AND(T4&gt;P15,T4&lt;=Q15),(S15-R15)/(Q15-P15)*(T4-P15)+R15,0)</f>
        <v>0</v>
      </c>
      <c r="U15" s="19">
        <f>IF(AND(U4&gt;P15,U4&lt;=Q15),(S15-R15)/(Q15-P15)*(U4-P15)+R15,0)</f>
        <v>0</v>
      </c>
      <c r="V15" s="38"/>
      <c r="W15" s="13">
        <v>10</v>
      </c>
      <c r="X15" s="17">
        <v>40000</v>
      </c>
      <c r="Y15" s="17">
        <v>60000</v>
      </c>
      <c r="Z15" s="18">
        <v>1054</v>
      </c>
      <c r="AA15" s="18">
        <v>1515.2</v>
      </c>
      <c r="AB15" s="19">
        <f>IF(AND(AB3&gt;X15,AB3&lt;=Y15),(AA15-Z15)/(Y15-X15)*(AB3-X15)+Z15,0)</f>
        <v>0</v>
      </c>
      <c r="AC15" s="13">
        <v>10</v>
      </c>
      <c r="AD15" s="17">
        <v>40000</v>
      </c>
      <c r="AE15" s="17">
        <v>60000</v>
      </c>
      <c r="AF15" s="18">
        <v>1054</v>
      </c>
      <c r="AG15" s="18">
        <v>1515.2</v>
      </c>
      <c r="AH15" s="19">
        <f>IF(AND(AH3&gt;AD15,AH3&lt;=AE15),(AG15-AF15)/(AE15-AD15)*(AH3-AD15)+AF15,0)</f>
        <v>0</v>
      </c>
      <c r="AI15" s="13">
        <v>10</v>
      </c>
      <c r="AJ15" s="17">
        <v>40000</v>
      </c>
      <c r="AK15" s="17">
        <v>60000</v>
      </c>
      <c r="AL15" s="18">
        <v>1054</v>
      </c>
      <c r="AM15" s="18">
        <v>1515.2</v>
      </c>
      <c r="AN15" s="19">
        <f>IF(AND(AN3&gt;AJ15,AN3&lt;=AK15),(AM15-AL15)/(AK15-AJ15)*(AN3-AJ15)+AL15,0)</f>
        <v>0</v>
      </c>
      <c r="AO15" s="38"/>
      <c r="AP15" s="13">
        <v>10</v>
      </c>
      <c r="AQ15" s="50">
        <v>50000</v>
      </c>
      <c r="AR15" s="50">
        <v>70000</v>
      </c>
      <c r="AS15" s="22">
        <v>0.013</v>
      </c>
      <c r="AT15" s="22">
        <v>0.011</v>
      </c>
      <c r="AU15" s="22">
        <f>IF(AND(AV3&gt;=AQ15,AV3&lt;AR15),(AS15-(AS15-AT15)/(AR15-AQ15)*(AV3-AQ15)),0)</f>
        <v>0</v>
      </c>
      <c r="AV15" s="19">
        <f>AV3*AU15</f>
        <v>0</v>
      </c>
      <c r="AW15" s="13">
        <v>10</v>
      </c>
      <c r="AX15" s="50">
        <v>50000</v>
      </c>
      <c r="AY15" s="50">
        <v>70000</v>
      </c>
      <c r="AZ15" s="22">
        <v>0.013</v>
      </c>
      <c r="BA15" s="22">
        <v>0.011</v>
      </c>
      <c r="BB15" s="22">
        <f>IF(AND(BC3&gt;=AX15,BC3&lt;AY15),(AZ15-(AZ15-BA15)/(AY15-AX15)*(BC3-AX15)),0)</f>
        <v>0</v>
      </c>
      <c r="BC15" s="19">
        <f>BC3*BB15</f>
        <v>0</v>
      </c>
      <c r="BD15" s="13">
        <v>10</v>
      </c>
      <c r="BE15" s="50">
        <v>50000</v>
      </c>
      <c r="BF15" s="50">
        <v>70000</v>
      </c>
      <c r="BG15" s="22">
        <v>0.013</v>
      </c>
      <c r="BH15" s="22">
        <v>0.011</v>
      </c>
      <c r="BI15" s="22">
        <f>IF(AND(BJ3&gt;=BE15,BJ3&lt;BF15),(BG15-(BG15-BH15)/(BF15-BE15)*(BJ3-BE15)),0)</f>
        <v>0</v>
      </c>
      <c r="BJ15" s="19">
        <f>BJ3*BI15</f>
        <v>0</v>
      </c>
      <c r="BK15" s="39"/>
      <c r="BL15" s="73" t="s">
        <v>127</v>
      </c>
      <c r="BM15" s="88"/>
      <c r="BN15" s="88"/>
      <c r="BO15" s="89"/>
      <c r="BP15" s="82">
        <v>1.2</v>
      </c>
      <c r="BQ15" s="82" t="e">
        <f>(BQ13+BQ14)*(BP15-1)</f>
        <v>#REF!</v>
      </c>
      <c r="BR15" s="38"/>
      <c r="BS15" s="76"/>
      <c r="BT15" s="77" t="s">
        <v>66</v>
      </c>
      <c r="BU15" s="77" t="s">
        <v>67</v>
      </c>
      <c r="BV15" s="77" t="s">
        <v>68</v>
      </c>
      <c r="BW15" s="96" t="s">
        <v>69</v>
      </c>
      <c r="BX15" s="76"/>
      <c r="BY15" s="77" t="s">
        <v>66</v>
      </c>
      <c r="BZ15" s="77" t="s">
        <v>67</v>
      </c>
      <c r="CA15" s="77" t="s">
        <v>68</v>
      </c>
      <c r="CB15" s="96" t="s">
        <v>69</v>
      </c>
      <c r="CC15" s="76"/>
      <c r="CD15" s="77" t="s">
        <v>66</v>
      </c>
      <c r="CE15" s="77" t="s">
        <v>67</v>
      </c>
      <c r="CF15" s="77" t="s">
        <v>68</v>
      </c>
      <c r="CG15" s="96" t="s">
        <v>69</v>
      </c>
      <c r="CH15" s="38"/>
      <c r="CI15" s="85"/>
      <c r="CJ15" s="113"/>
      <c r="CK15" s="113"/>
      <c r="CL15" s="113"/>
      <c r="CM15" s="113"/>
      <c r="CN15" s="113"/>
      <c r="CO15" s="116"/>
      <c r="CP15" s="85"/>
      <c r="CQ15" s="113"/>
      <c r="CR15" s="113"/>
      <c r="CS15" s="113"/>
      <c r="CT15" s="113"/>
      <c r="CU15" s="113"/>
      <c r="CV15" s="116"/>
      <c r="CW15" s="85"/>
      <c r="CX15" s="113"/>
      <c r="CY15" s="113"/>
      <c r="CZ15" s="113"/>
      <c r="DA15" s="113"/>
      <c r="DB15" s="113"/>
      <c r="DC15" s="116"/>
      <c r="DD15" s="38"/>
      <c r="DE15" s="38"/>
      <c r="DF15" s="13">
        <v>5</v>
      </c>
      <c r="DG15" s="17">
        <v>7000</v>
      </c>
      <c r="DH15" s="22">
        <v>0.022</v>
      </c>
      <c r="DI15" s="140">
        <v>7000</v>
      </c>
      <c r="DJ15" s="134">
        <f t="shared" si="0"/>
        <v>0.022</v>
      </c>
      <c r="DL15" s="138">
        <v>10</v>
      </c>
      <c r="DM15" s="141">
        <v>40000</v>
      </c>
      <c r="DN15" s="141">
        <v>60000</v>
      </c>
      <c r="DO15" s="142">
        <v>84.4</v>
      </c>
      <c r="DP15" s="142">
        <v>121.2</v>
      </c>
      <c r="DQ15" s="142" t="e">
        <f>IF(AND(DQ3&gt;DM15,DQ3&lt;=DN15),(DP15-DO15)/(DN15-DM15)*(DQ3-DM15)+DO15,0)</f>
        <v>#REF!</v>
      </c>
    </row>
    <row r="16" spans="1:121">
      <c r="A16" s="13">
        <v>10</v>
      </c>
      <c r="B16" s="17">
        <v>40000</v>
      </c>
      <c r="C16" s="17">
        <v>60000</v>
      </c>
      <c r="D16" s="18">
        <v>1054</v>
      </c>
      <c r="E16" s="18">
        <v>1515.2</v>
      </c>
      <c r="F16" s="18">
        <f>IF(AND(F4&gt;B16,F4&lt;=C16),(E16-D16)/(C16-B16)*(F4-B16)+D16,0)</f>
        <v>0</v>
      </c>
      <c r="G16" s="19">
        <f>IF(AND(G4&gt;B16,G4&lt;=C16),(E16-D16)/(C16-B16)*(G4-B16)+D16,0)</f>
        <v>0</v>
      </c>
      <c r="H16" s="13">
        <v>10</v>
      </c>
      <c r="I16" s="17">
        <v>40000</v>
      </c>
      <c r="J16" s="17">
        <v>60000</v>
      </c>
      <c r="K16" s="18">
        <v>1054</v>
      </c>
      <c r="L16" s="18">
        <v>1515.2</v>
      </c>
      <c r="M16" s="18">
        <f>IF(AND(M4&gt;I16,M4&lt;=J16),(L16-K16)/(J16-I16)*(M4-I16)+K16,0)</f>
        <v>0</v>
      </c>
      <c r="N16" s="19">
        <f>IF(AND(N4&gt;I16,N4&lt;=J16),(L16-K16)/(J16-I16)*(N4-I16)+K16,0)</f>
        <v>0</v>
      </c>
      <c r="O16" s="13">
        <v>10</v>
      </c>
      <c r="P16" s="17">
        <v>40000</v>
      </c>
      <c r="Q16" s="17">
        <v>60000</v>
      </c>
      <c r="R16" s="18">
        <v>1054</v>
      </c>
      <c r="S16" s="18">
        <v>1515.2</v>
      </c>
      <c r="T16" s="18">
        <f>IF(AND(T4&gt;P16,T4&lt;=Q16),(S16-R16)/(Q16-P16)*(T4-P16)+R16,0)</f>
        <v>0</v>
      </c>
      <c r="U16" s="19">
        <f>IF(AND(U4&gt;P16,U4&lt;=Q16),(S16-R16)/(Q16-P16)*(U4-P16)+R16,0)</f>
        <v>0</v>
      </c>
      <c r="V16" s="38"/>
      <c r="W16" s="13">
        <v>11</v>
      </c>
      <c r="X16" s="17">
        <v>60000</v>
      </c>
      <c r="Y16" s="17">
        <v>80000</v>
      </c>
      <c r="Z16" s="18">
        <v>1515.2</v>
      </c>
      <c r="AA16" s="18">
        <v>1960.1</v>
      </c>
      <c r="AB16" s="19">
        <f>IF(AND(AB3&gt;X16,AB3&lt;=Y16),(AA16-Z16)/(Y16-X16)*(AB3-X16)+Z16,0)</f>
        <v>0</v>
      </c>
      <c r="AC16" s="13">
        <v>11</v>
      </c>
      <c r="AD16" s="17">
        <v>60000</v>
      </c>
      <c r="AE16" s="17">
        <v>80000</v>
      </c>
      <c r="AF16" s="18">
        <v>1515.2</v>
      </c>
      <c r="AG16" s="18">
        <v>1960.1</v>
      </c>
      <c r="AH16" s="19">
        <f>IF(AND(AH3&gt;AD16,AH3&lt;=AE16),(AG16-AF16)/(AE16-AD16)*(AH3-AD16)+AF16,0)</f>
        <v>0</v>
      </c>
      <c r="AI16" s="13">
        <v>11</v>
      </c>
      <c r="AJ16" s="17">
        <v>60000</v>
      </c>
      <c r="AK16" s="17">
        <v>80000</v>
      </c>
      <c r="AL16" s="18">
        <v>1515.2</v>
      </c>
      <c r="AM16" s="18">
        <v>1960.1</v>
      </c>
      <c r="AN16" s="19">
        <f>IF(AND(AN3&gt;AJ16,AN3&lt;=AK16),(AM16-AL16)/(AK16-AJ16)*(AN3-AJ16)+AL16,0)</f>
        <v>0</v>
      </c>
      <c r="AO16" s="38"/>
      <c r="AP16" s="13">
        <v>11</v>
      </c>
      <c r="AQ16" s="50">
        <v>70000</v>
      </c>
      <c r="AR16" s="50">
        <v>100000</v>
      </c>
      <c r="AS16" s="22">
        <v>0.011</v>
      </c>
      <c r="AT16" s="22">
        <v>0.009</v>
      </c>
      <c r="AU16" s="22">
        <f>IF(AND(AV3&gt;=AQ16,AV3&lt;AR16),(AS16-(AS16-AT16)/(AR16-AQ16)*(AV3-AQ16)),0)</f>
        <v>0</v>
      </c>
      <c r="AV16" s="19">
        <f>AV3*AU16</f>
        <v>0</v>
      </c>
      <c r="AW16" s="13">
        <v>11</v>
      </c>
      <c r="AX16" s="50">
        <v>70000</v>
      </c>
      <c r="AY16" s="50">
        <v>100000</v>
      </c>
      <c r="AZ16" s="22">
        <v>0.011</v>
      </c>
      <c r="BA16" s="22">
        <v>0.009</v>
      </c>
      <c r="BB16" s="22">
        <f>IF(AND(BC3&gt;=AX16,BC3&lt;AY16),(AZ16-(AZ16-BA16)/(AY16-AX16)*(BC3-AX16)),0)</f>
        <v>0</v>
      </c>
      <c r="BC16" s="19">
        <f>BC3*BB16</f>
        <v>0</v>
      </c>
      <c r="BD16" s="13">
        <v>11</v>
      </c>
      <c r="BE16" s="50">
        <v>70000</v>
      </c>
      <c r="BF16" s="50">
        <v>100000</v>
      </c>
      <c r="BG16" s="22">
        <v>0.011</v>
      </c>
      <c r="BH16" s="22">
        <v>0.009</v>
      </c>
      <c r="BI16" s="22">
        <f>IF(AND(BJ3&gt;=BE16,BJ3&lt;BF16),(BG16-(BG16-BH16)/(BF16-BE16)*(BJ3-BE16)),0)</f>
        <v>0</v>
      </c>
      <c r="BJ16" s="19">
        <f>BJ3*BI16</f>
        <v>0</v>
      </c>
      <c r="BK16" s="39"/>
      <c r="BL16" s="71"/>
      <c r="BM16" s="86"/>
      <c r="BN16" s="86"/>
      <c r="BO16" s="86"/>
      <c r="BP16" s="87"/>
      <c r="BQ16" s="82"/>
      <c r="BR16" s="38"/>
      <c r="BS16" s="79"/>
      <c r="BT16" s="17">
        <v>1000</v>
      </c>
      <c r="BU16" s="63">
        <v>0.0014</v>
      </c>
      <c r="BV16" s="18" t="e">
        <f>IF((BW16-BT16)&gt;0,BT16*BU16,BW16*BU16)</f>
        <v>#REF!</v>
      </c>
      <c r="BW16" s="98" t="e">
        <f>BW4</f>
        <v>#REF!</v>
      </c>
      <c r="BX16" s="79"/>
      <c r="BY16" s="17">
        <v>1000</v>
      </c>
      <c r="BZ16" s="63">
        <v>0.0014</v>
      </c>
      <c r="CA16" s="18" t="e">
        <f>IF((CB16-BY16)&gt;0,BY16*BZ16,CB16*BZ16)</f>
        <v>#REF!</v>
      </c>
      <c r="CB16" s="98" t="e">
        <f>BW16</f>
        <v>#REF!</v>
      </c>
      <c r="CC16" s="79"/>
      <c r="CD16" s="17">
        <v>1000</v>
      </c>
      <c r="CE16" s="63">
        <v>0.0014</v>
      </c>
      <c r="CF16" s="18" t="e">
        <f>IF((CG16-CD16)&gt;0,CD16*CE16,CG16*CE16)</f>
        <v>#REF!</v>
      </c>
      <c r="CG16" s="98" t="e">
        <f>BW16</f>
        <v>#REF!</v>
      </c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13">
        <v>6</v>
      </c>
      <c r="DG16" s="17">
        <v>10000</v>
      </c>
      <c r="DH16" s="22">
        <v>0.019</v>
      </c>
      <c r="DI16" s="140">
        <v>10000</v>
      </c>
      <c r="DJ16" s="134">
        <f t="shared" si="0"/>
        <v>0.019</v>
      </c>
      <c r="DL16" s="138">
        <v>11</v>
      </c>
      <c r="DM16" s="141">
        <v>60000</v>
      </c>
      <c r="DN16" s="141">
        <v>80000</v>
      </c>
      <c r="DO16" s="142">
        <v>121.2</v>
      </c>
      <c r="DP16" s="142">
        <v>157</v>
      </c>
      <c r="DQ16" s="142" t="e">
        <f>IF(AND(DQ3&gt;DM16,DQ3&lt;=DN16),(DP16-DO16)/(DN16-DM16)*(DQ3-DM16)+DO16,0)</f>
        <v>#REF!</v>
      </c>
    </row>
    <row r="17" spans="1:121">
      <c r="A17" s="13">
        <v>11</v>
      </c>
      <c r="B17" s="17">
        <v>60000</v>
      </c>
      <c r="C17" s="17">
        <v>80000</v>
      </c>
      <c r="D17" s="18">
        <v>1515.2</v>
      </c>
      <c r="E17" s="18">
        <v>1960.1</v>
      </c>
      <c r="F17" s="18">
        <f>IF(AND(F4&gt;B17,F4&lt;=C17),(E17-D17)/(C17-B17)*(F4-B17)+D17,0)</f>
        <v>0</v>
      </c>
      <c r="G17" s="19">
        <f>IF(AND(G4&gt;B17,G4&lt;=C17),(E17-D17)/(C17-B17)*(G4-B17)+D17,0)</f>
        <v>0</v>
      </c>
      <c r="H17" s="13">
        <v>11</v>
      </c>
      <c r="I17" s="17">
        <v>60000</v>
      </c>
      <c r="J17" s="17">
        <v>80000</v>
      </c>
      <c r="K17" s="18">
        <v>1515.2</v>
      </c>
      <c r="L17" s="18">
        <v>1960.1</v>
      </c>
      <c r="M17" s="18">
        <f>IF(AND(M4&gt;I17,M4&lt;=J17),(L17-K17)/(J17-I17)*(M4-I17)+K17,0)</f>
        <v>0</v>
      </c>
      <c r="N17" s="19">
        <f>IF(AND(N4&gt;I17,N4&lt;=J17),(L17-K17)/(J17-I17)*(N4-I17)+K17,0)</f>
        <v>0</v>
      </c>
      <c r="O17" s="13">
        <v>11</v>
      </c>
      <c r="P17" s="17">
        <v>60000</v>
      </c>
      <c r="Q17" s="17">
        <v>80000</v>
      </c>
      <c r="R17" s="18">
        <v>1515.2</v>
      </c>
      <c r="S17" s="18">
        <v>1960.1</v>
      </c>
      <c r="T17" s="18">
        <f>IF(AND(T4&gt;P17,T4&lt;=Q17),(S17-R17)/(Q17-P17)*(T4-P17)+R17,0)</f>
        <v>0</v>
      </c>
      <c r="U17" s="19">
        <f>IF(AND(U4&gt;P17,U4&lt;=Q17),(S17-R17)/(Q17-P17)*(U4-P17)+R17,0)</f>
        <v>0</v>
      </c>
      <c r="V17" s="38"/>
      <c r="W17" s="13">
        <v>12</v>
      </c>
      <c r="X17" s="17">
        <v>80000</v>
      </c>
      <c r="Y17" s="17">
        <v>100000</v>
      </c>
      <c r="Z17" s="18">
        <v>1960.1</v>
      </c>
      <c r="AA17" s="18">
        <v>2393.4</v>
      </c>
      <c r="AB17" s="19">
        <f>IF(AND(AB3&gt;X17,AB3&lt;=Y17),(AA17-Z17)/(Y17-X17)*(AB3-X17)+Z17,0)</f>
        <v>0</v>
      </c>
      <c r="AC17" s="13">
        <v>12</v>
      </c>
      <c r="AD17" s="17">
        <v>80000</v>
      </c>
      <c r="AE17" s="17">
        <v>100000</v>
      </c>
      <c r="AF17" s="18">
        <v>1960.1</v>
      </c>
      <c r="AG17" s="18">
        <v>2393.4</v>
      </c>
      <c r="AH17" s="19">
        <f>IF(AND(AH3&gt;AD17,AH3&lt;=AE17),(AG17-AF17)/(AE17-AD17)*(AH3-AD17)+AF17,0)</f>
        <v>0</v>
      </c>
      <c r="AI17" s="13">
        <v>12</v>
      </c>
      <c r="AJ17" s="17">
        <v>80000</v>
      </c>
      <c r="AK17" s="17">
        <v>100000</v>
      </c>
      <c r="AL17" s="18">
        <v>1960.1</v>
      </c>
      <c r="AM17" s="18">
        <v>2393.4</v>
      </c>
      <c r="AN17" s="19">
        <f>IF(AND(AN3&gt;AJ17,AN3&lt;=AK17),(AM17-AL17)/(AK17-AJ17)*(AN3-AJ17)+AL17,0)</f>
        <v>0</v>
      </c>
      <c r="AO17" s="38"/>
      <c r="AP17" s="13">
        <v>12</v>
      </c>
      <c r="AQ17" s="50">
        <v>100000</v>
      </c>
      <c r="AR17" s="50">
        <v>300000</v>
      </c>
      <c r="AS17" s="22">
        <v>0.009</v>
      </c>
      <c r="AT17" s="22">
        <v>0.007</v>
      </c>
      <c r="AU17" s="22">
        <f>IF(AND(AV3&gt;=AQ17,AV3&lt;AR17),(AS17-(AS17-AT17)/(AR17-AQ17)*(AV3-AQ17)),0)</f>
        <v>0</v>
      </c>
      <c r="AV17" s="19">
        <f>AV3*AU17</f>
        <v>0</v>
      </c>
      <c r="AW17" s="13">
        <v>12</v>
      </c>
      <c r="AX17" s="50">
        <v>100000</v>
      </c>
      <c r="AY17" s="50">
        <v>300000</v>
      </c>
      <c r="AZ17" s="22">
        <v>0.009</v>
      </c>
      <c r="BA17" s="22">
        <v>0.007</v>
      </c>
      <c r="BB17" s="22">
        <f>IF(AND(BC3&gt;=AX17,BC3&lt;AY17),(AZ17-(AZ17-BA17)/(AY17-AX17)*(BC3-AX17)),0)</f>
        <v>0</v>
      </c>
      <c r="BC17" s="19">
        <f>BC3*BB17</f>
        <v>0</v>
      </c>
      <c r="BD17" s="13">
        <v>12</v>
      </c>
      <c r="BE17" s="50">
        <v>100000</v>
      </c>
      <c r="BF17" s="50">
        <v>300000</v>
      </c>
      <c r="BG17" s="22">
        <v>0.009</v>
      </c>
      <c r="BH17" s="22">
        <v>0.007</v>
      </c>
      <c r="BI17" s="22">
        <f>IF(AND(BJ3&gt;=BE17,BJ3&lt;BF17),(BG17-(BG17-BH17)/(BF17-BE17)*(BJ3-BE17)),0)</f>
        <v>0</v>
      </c>
      <c r="BJ17" s="19">
        <f>BJ3*BI17</f>
        <v>0</v>
      </c>
      <c r="BK17" s="39"/>
      <c r="BL17" s="67" t="s">
        <v>128</v>
      </c>
      <c r="BM17" s="67"/>
      <c r="BN17" s="67"/>
      <c r="BO17" s="67"/>
      <c r="BP17" s="67"/>
      <c r="BQ17" s="90" t="e">
        <f>SUM(BQ13:BQ15)</f>
        <v>#REF!</v>
      </c>
      <c r="BR17" s="38"/>
      <c r="BS17" s="79"/>
      <c r="BT17" s="17">
        <v>3000</v>
      </c>
      <c r="BU17" s="63">
        <v>0.00126</v>
      </c>
      <c r="BV17" s="18" t="e">
        <f>IF((BW16-BT17)&gt;0,(BT17-BT16)*BU17,IF((BW16-BT16)*BU17&gt;0,(BW16-BT16)*BU17,0))</f>
        <v>#REF!</v>
      </c>
      <c r="BW17" s="99"/>
      <c r="BX17" s="79"/>
      <c r="BY17" s="17">
        <v>3000</v>
      </c>
      <c r="BZ17" s="63">
        <v>0.00126</v>
      </c>
      <c r="CA17" s="18" t="e">
        <f>IF((CB16-BY17)&gt;0,(BY17-BY16)*BZ17,IF((CB16-BY16)*BZ17&gt;0,(CB16-BY16)*BZ17,0))</f>
        <v>#REF!</v>
      </c>
      <c r="CB17" s="99"/>
      <c r="CC17" s="79"/>
      <c r="CD17" s="17">
        <v>3000</v>
      </c>
      <c r="CE17" s="63">
        <v>0.00126</v>
      </c>
      <c r="CF17" s="18" t="e">
        <f>IF((CG16-CD17)&gt;0,(CD17-CD16)*CE17,IF((CG16-CD16)*CE17&gt;0,(CG16-CD16)*CE17,0))</f>
        <v>#REF!</v>
      </c>
      <c r="CG17" s="99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13">
        <v>7</v>
      </c>
      <c r="DG17" s="17">
        <v>20000</v>
      </c>
      <c r="DH17" s="22">
        <v>0.017</v>
      </c>
      <c r="DI17" s="140">
        <v>20000</v>
      </c>
      <c r="DJ17" s="134">
        <f t="shared" si="0"/>
        <v>0.017</v>
      </c>
      <c r="DL17" s="138">
        <v>12</v>
      </c>
      <c r="DM17" s="141">
        <v>80000</v>
      </c>
      <c r="DN17" s="141">
        <v>100000</v>
      </c>
      <c r="DO17" s="142">
        <v>157</v>
      </c>
      <c r="DP17" s="142">
        <v>191</v>
      </c>
      <c r="DQ17" s="142" t="e">
        <f>IF(AND(DQ3&gt;DM17,DQ3&lt;=DN17),(DP17-DO17)/(DN17-DM17)*(DQ3-DM17)+DO17,0)</f>
        <v>#REF!</v>
      </c>
    </row>
    <row r="18" spans="1:121">
      <c r="A18" s="13">
        <v>12</v>
      </c>
      <c r="B18" s="17">
        <v>80000</v>
      </c>
      <c r="C18" s="17">
        <v>100000</v>
      </c>
      <c r="D18" s="18">
        <v>1960.1</v>
      </c>
      <c r="E18" s="18">
        <v>2393.4</v>
      </c>
      <c r="F18" s="18">
        <f>IF(AND(F4&gt;B18,F4&lt;=C18),(E18-D18)/(C18-B18)*(F4-B18)+D18,0)</f>
        <v>0</v>
      </c>
      <c r="G18" s="19">
        <f>IF(AND(G4&gt;B18,G4&lt;=C18),(E18-D18)/(C18-B18)*(G4-B18)+D18,0)</f>
        <v>0</v>
      </c>
      <c r="H18" s="13">
        <v>12</v>
      </c>
      <c r="I18" s="17">
        <v>80000</v>
      </c>
      <c r="J18" s="17">
        <v>100000</v>
      </c>
      <c r="K18" s="18">
        <v>1960.1</v>
      </c>
      <c r="L18" s="18">
        <v>2393.4</v>
      </c>
      <c r="M18" s="18">
        <f>IF(AND(M4&gt;I18,M4&lt;=J18),(L18-K18)/(J18-I18)*(M4-I18)+K18,0)</f>
        <v>0</v>
      </c>
      <c r="N18" s="19">
        <f>IF(AND(N4&gt;I18,N4&lt;=J18),(L18-K18)/(J18-I18)*(N4-I18)+K18,0)</f>
        <v>0</v>
      </c>
      <c r="O18" s="13">
        <v>12</v>
      </c>
      <c r="P18" s="17">
        <v>80000</v>
      </c>
      <c r="Q18" s="17">
        <v>100000</v>
      </c>
      <c r="R18" s="18">
        <v>1960.1</v>
      </c>
      <c r="S18" s="18">
        <v>2393.4</v>
      </c>
      <c r="T18" s="18">
        <f>IF(AND(T4&gt;P18,T4&lt;=Q18),(S18-R18)/(Q18-P18)*(T4-P18)+R18,0)</f>
        <v>0</v>
      </c>
      <c r="U18" s="19">
        <f>IF(AND(U4&gt;P18,U4&lt;=Q18),(S18-R18)/(Q18-P18)*(U4-P18)+R18,0)</f>
        <v>0</v>
      </c>
      <c r="V18" s="38"/>
      <c r="W18" s="13">
        <v>13</v>
      </c>
      <c r="X18" s="17">
        <v>100000</v>
      </c>
      <c r="Y18" s="17">
        <v>200000</v>
      </c>
      <c r="Z18" s="18">
        <v>2393.4</v>
      </c>
      <c r="AA18" s="18">
        <v>4450.8</v>
      </c>
      <c r="AB18" s="19">
        <f>IF(AND(AB3&gt;X18,AB3&lt;=Y18),(AA18-Z18)/(Y18-X18)*(AB3-X18)+Z18,0)</f>
        <v>0</v>
      </c>
      <c r="AC18" s="13">
        <v>13</v>
      </c>
      <c r="AD18" s="17">
        <v>100000</v>
      </c>
      <c r="AE18" s="17">
        <v>200000</v>
      </c>
      <c r="AF18" s="18">
        <v>2393.4</v>
      </c>
      <c r="AG18" s="18">
        <v>4450.8</v>
      </c>
      <c r="AH18" s="19">
        <f>IF(AND(AH3&gt;AD18,AH3&lt;=AE18),(AG18-AF18)/(AE18-AD18)*(AH3-AD18)+AF18,0)</f>
        <v>0</v>
      </c>
      <c r="AI18" s="13">
        <v>13</v>
      </c>
      <c r="AJ18" s="17">
        <v>100000</v>
      </c>
      <c r="AK18" s="17">
        <v>200000</v>
      </c>
      <c r="AL18" s="18">
        <v>2393.4</v>
      </c>
      <c r="AM18" s="18">
        <v>4450.8</v>
      </c>
      <c r="AN18" s="19">
        <f>IF(AND(AN3&gt;AJ18,AN3&lt;=AK18),(AM18-AL18)/(AK18-AJ18)*(AN3-AJ18)+AL18,0)</f>
        <v>0</v>
      </c>
      <c r="AO18" s="38"/>
      <c r="AP18" s="13">
        <v>13</v>
      </c>
      <c r="AQ18" s="50">
        <v>300000</v>
      </c>
      <c r="AR18" s="51" t="s">
        <v>129</v>
      </c>
      <c r="AS18" s="22">
        <v>0.007</v>
      </c>
      <c r="AT18" s="52" t="s">
        <v>130</v>
      </c>
      <c r="AU18" s="22">
        <f>IF(AND(AV3&gt;=AQ18,AV3&lt;AR18),AS18,0)</f>
        <v>0</v>
      </c>
      <c r="AV18" s="19">
        <f>AV3*AU18</f>
        <v>0</v>
      </c>
      <c r="AW18" s="13">
        <v>13</v>
      </c>
      <c r="AX18" s="50">
        <v>300000</v>
      </c>
      <c r="AY18" s="51" t="s">
        <v>129</v>
      </c>
      <c r="AZ18" s="22">
        <v>0.007</v>
      </c>
      <c r="BA18" s="52" t="s">
        <v>130</v>
      </c>
      <c r="BB18" s="22">
        <f>IF(AND(BC3&gt;=AX18,BC3&lt;AY18),AZ18,0)</f>
        <v>0</v>
      </c>
      <c r="BC18" s="19">
        <f>BC3*BB18</f>
        <v>0</v>
      </c>
      <c r="BD18" s="13">
        <v>13</v>
      </c>
      <c r="BE18" s="50">
        <v>300000</v>
      </c>
      <c r="BF18" s="51" t="s">
        <v>129</v>
      </c>
      <c r="BG18" s="22">
        <v>0.007</v>
      </c>
      <c r="BH18" s="52" t="s">
        <v>130</v>
      </c>
      <c r="BI18" s="22">
        <f>IF(AND(BJ3&gt;=BE18,BJ3&lt;BF18),BG18,0)</f>
        <v>0</v>
      </c>
      <c r="BJ18" s="19">
        <f>BJ3*BI18</f>
        <v>0</v>
      </c>
      <c r="BK18" s="39"/>
      <c r="BL18" s="38"/>
      <c r="BM18" s="38"/>
      <c r="BN18" s="38"/>
      <c r="BO18" s="38"/>
      <c r="BP18" s="38"/>
      <c r="BQ18" s="38"/>
      <c r="BR18" s="38"/>
      <c r="BS18" s="79"/>
      <c r="BT18" s="17">
        <v>5000</v>
      </c>
      <c r="BU18" s="63">
        <v>0.00112</v>
      </c>
      <c r="BV18" s="18" t="e">
        <f>IF((BW16-BT18)&gt;0,(BT18-BT17)*BU18,IF((BW16-BT17)*BU18&gt;0,(BW16-BT17)*BU18,0))</f>
        <v>#REF!</v>
      </c>
      <c r="BW18" s="99"/>
      <c r="BX18" s="79"/>
      <c r="BY18" s="17">
        <v>5000</v>
      </c>
      <c r="BZ18" s="63">
        <v>0.00112</v>
      </c>
      <c r="CA18" s="18" t="e">
        <f>IF((CB16-BY18)&gt;0,(BY18-BY17)*BZ18,IF((CB16-BY17)*BZ18&gt;0,(CB16-BY17)*BZ18,0))</f>
        <v>#REF!</v>
      </c>
      <c r="CB18" s="99"/>
      <c r="CC18" s="79"/>
      <c r="CD18" s="17">
        <v>5000</v>
      </c>
      <c r="CE18" s="63">
        <v>0.00112</v>
      </c>
      <c r="CF18" s="18" t="e">
        <f>IF((CG16-CD18)&gt;0,(CD18-CD17)*CE18,IF((CG16-CD17)*CE18&gt;0,(CG16-CD17)*CE18,0))</f>
        <v>#REF!</v>
      </c>
      <c r="CG18" s="99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13">
        <v>8</v>
      </c>
      <c r="DG18" s="17">
        <v>30000</v>
      </c>
      <c r="DH18" s="22">
        <v>0.015</v>
      </c>
      <c r="DI18" s="140">
        <v>30000</v>
      </c>
      <c r="DJ18" s="134">
        <f t="shared" si="0"/>
        <v>0.015</v>
      </c>
      <c r="DL18" s="138">
        <v>13</v>
      </c>
      <c r="DM18" s="141">
        <v>100000</v>
      </c>
      <c r="DN18" s="141">
        <v>200000</v>
      </c>
      <c r="DO18" s="142">
        <v>191</v>
      </c>
      <c r="DP18" s="142">
        <v>334</v>
      </c>
      <c r="DQ18" s="142" t="e">
        <f>IF(AND(DQ3&gt;DM18,DQ3&lt;=DN18),(DP18-DO18)/(DN18-DM18)*(DQ3-DM18)+DO18,0)</f>
        <v>#REF!</v>
      </c>
    </row>
    <row r="19" spans="1:121">
      <c r="A19" s="13">
        <v>13</v>
      </c>
      <c r="B19" s="17">
        <v>100000</v>
      </c>
      <c r="C19" s="17">
        <v>200000</v>
      </c>
      <c r="D19" s="18">
        <v>2393.4</v>
      </c>
      <c r="E19" s="18">
        <v>4450.8</v>
      </c>
      <c r="F19" s="18">
        <f>IF(AND(F4&gt;B19,F4&lt;=C19),(E19-D19)/(C19-B19)*(F4-B19)+D19,0)</f>
        <v>0</v>
      </c>
      <c r="G19" s="19">
        <f>IF(AND(G4&gt;B19,G4&lt;=C19),(E19-D19)/(C19-B19)*(G4-B19)+D19,0)</f>
        <v>0</v>
      </c>
      <c r="H19" s="13">
        <v>13</v>
      </c>
      <c r="I19" s="17">
        <v>100000</v>
      </c>
      <c r="J19" s="17">
        <v>200000</v>
      </c>
      <c r="K19" s="18">
        <v>2393.4</v>
      </c>
      <c r="L19" s="18">
        <v>4450.8</v>
      </c>
      <c r="M19" s="18">
        <f>IF(AND(M4&gt;I19,M4&lt;=J19),(L19-K19)/(J19-I19)*(M4-I19)+K19,0)</f>
        <v>0</v>
      </c>
      <c r="N19" s="19">
        <f>IF(AND(N4&gt;I19,N4&lt;=J19),(L19-K19)/(J19-I19)*(N4-I19)+K19,0)</f>
        <v>0</v>
      </c>
      <c r="O19" s="13">
        <v>13</v>
      </c>
      <c r="P19" s="17">
        <v>100000</v>
      </c>
      <c r="Q19" s="17">
        <v>200000</v>
      </c>
      <c r="R19" s="18">
        <v>2393.4</v>
      </c>
      <c r="S19" s="18">
        <v>4450.8</v>
      </c>
      <c r="T19" s="18">
        <f>IF(AND(T4&gt;P19,T4&lt;=Q19),(S19-R19)/(Q19-P19)*(T4-P19)+R19,0)</f>
        <v>0</v>
      </c>
      <c r="U19" s="19">
        <f>IF(AND(U4&gt;P19,U4&lt;=Q19),(S19-R19)/(Q19-P19)*(U4-P19)+R19,0)</f>
        <v>0</v>
      </c>
      <c r="V19" s="38"/>
      <c r="W19" s="13">
        <v>14</v>
      </c>
      <c r="X19" s="17">
        <v>200000</v>
      </c>
      <c r="Y19" s="17">
        <v>400000</v>
      </c>
      <c r="Z19" s="18">
        <v>4450.8</v>
      </c>
      <c r="AA19" s="18">
        <v>8276.7</v>
      </c>
      <c r="AB19" s="19">
        <f>IF(AND(AB3&gt;X19,AB3&lt;=Y19),(AA19-Z19)/(Y19-X19)*(AB3-X19)+Z19,0)</f>
        <v>0</v>
      </c>
      <c r="AC19" s="13">
        <v>14</v>
      </c>
      <c r="AD19" s="17">
        <v>200000</v>
      </c>
      <c r="AE19" s="17">
        <v>400000</v>
      </c>
      <c r="AF19" s="18">
        <v>4450.8</v>
      </c>
      <c r="AG19" s="18">
        <v>8276.7</v>
      </c>
      <c r="AH19" s="19">
        <f>IF(AND(AH3&gt;AD19,AH3&lt;=AE19),(AG19-AF19)/(AE19-AD19)*(AH3-AD19)+AF19,0)</f>
        <v>0</v>
      </c>
      <c r="AI19" s="13">
        <v>14</v>
      </c>
      <c r="AJ19" s="17">
        <v>200000</v>
      </c>
      <c r="AK19" s="17">
        <v>400000</v>
      </c>
      <c r="AL19" s="18">
        <v>4450.8</v>
      </c>
      <c r="AM19" s="18">
        <v>8276.7</v>
      </c>
      <c r="AN19" s="19">
        <f>IF(AND(AN3&gt;AJ19,AN3&lt;=AK19),(AM19-AL19)/(AK19-AJ19)*(AN3-AJ19)+AL19,0)</f>
        <v>0</v>
      </c>
      <c r="AO19" s="38"/>
      <c r="AP19" s="53"/>
      <c r="AQ19" s="17"/>
      <c r="AR19" s="17"/>
      <c r="AS19" s="22"/>
      <c r="AT19" s="22"/>
      <c r="AU19" s="22"/>
      <c r="AV19" s="19"/>
      <c r="AW19" s="53"/>
      <c r="AX19" s="17"/>
      <c r="AY19" s="17"/>
      <c r="AZ19" s="22"/>
      <c r="BA19" s="22"/>
      <c r="BB19" s="22"/>
      <c r="BC19" s="19"/>
      <c r="BD19" s="53"/>
      <c r="BE19" s="17"/>
      <c r="BF19" s="17"/>
      <c r="BG19" s="22"/>
      <c r="BH19" s="22"/>
      <c r="BI19" s="22"/>
      <c r="BJ19" s="19"/>
      <c r="BK19" s="64"/>
      <c r="BL19" s="47" t="s">
        <v>131</v>
      </c>
      <c r="BM19" s="1"/>
      <c r="BN19" s="1"/>
      <c r="BO19" s="1"/>
      <c r="BP19" s="1"/>
      <c r="BQ19" s="1"/>
      <c r="BR19" s="38"/>
      <c r="BS19" s="79"/>
      <c r="BT19" s="17">
        <v>10000</v>
      </c>
      <c r="BU19" s="63">
        <v>0.00084</v>
      </c>
      <c r="BV19" s="18" t="e">
        <f>IF((BW16-BT19)&gt;0,(BT19-BT18)*BU19,IF((BW16-BT18)*BU19&gt;0,(BW16-BT18)*BU19,0))</f>
        <v>#REF!</v>
      </c>
      <c r="BW19" s="99"/>
      <c r="BX19" s="79"/>
      <c r="BY19" s="17">
        <v>10000</v>
      </c>
      <c r="BZ19" s="63">
        <v>0.00084</v>
      </c>
      <c r="CA19" s="18" t="e">
        <f>IF((CB16-BY19)&gt;0,(BY19-BY18)*BZ19,IF((CB16-BY18)*BZ19&gt;0,(CB16-BY18)*BZ19,0))</f>
        <v>#REF!</v>
      </c>
      <c r="CB19" s="99"/>
      <c r="CC19" s="79"/>
      <c r="CD19" s="17">
        <v>10000</v>
      </c>
      <c r="CE19" s="63">
        <v>0.00084</v>
      </c>
      <c r="CF19" s="18" t="e">
        <f>IF((CG16-CD19)&gt;0,(CD19-CD18)*CE19,IF((CG16-CD18)*CE19&gt;0,(CG16-CD18)*CE19,0))</f>
        <v>#REF!</v>
      </c>
      <c r="CG19" s="99"/>
      <c r="CH19" s="38"/>
      <c r="CI19" s="38"/>
      <c r="CJ19" s="37" t="s">
        <v>132</v>
      </c>
      <c r="CK19" s="37"/>
      <c r="CL19" s="37"/>
      <c r="CM19" s="37"/>
      <c r="CN19" s="37"/>
      <c r="CO19" s="37"/>
      <c r="CP19" s="37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13">
        <v>9</v>
      </c>
      <c r="DG19" s="17">
        <v>50000</v>
      </c>
      <c r="DH19" s="22">
        <v>0.013</v>
      </c>
      <c r="DI19" s="140">
        <v>50000</v>
      </c>
      <c r="DJ19" s="134">
        <f t="shared" si="0"/>
        <v>0.013</v>
      </c>
      <c r="DL19" s="138">
        <v>14</v>
      </c>
      <c r="DM19" s="141">
        <v>200000</v>
      </c>
      <c r="DN19" s="141">
        <v>400000</v>
      </c>
      <c r="DO19" s="142">
        <v>334</v>
      </c>
      <c r="DP19" s="142">
        <v>620</v>
      </c>
      <c r="DQ19" s="142" t="e">
        <f>IF(AND(DQ3&gt;DM19,DQ3&lt;=DN19),(DP19-DO19)/(DN19-DM19)*(DQ3-DM19)+DO19,0)</f>
        <v>#REF!</v>
      </c>
    </row>
    <row r="20" ht="31.5" customHeight="1" spans="1:121">
      <c r="A20" s="13">
        <v>14</v>
      </c>
      <c r="B20" s="17">
        <v>200000</v>
      </c>
      <c r="C20" s="17">
        <v>400000</v>
      </c>
      <c r="D20" s="18">
        <v>4450.8</v>
      </c>
      <c r="E20" s="18">
        <v>8276.7</v>
      </c>
      <c r="F20" s="18">
        <f>IF(AND(F4&gt;B20,F4&lt;=C20),(E20-D20)/(C20-B20)*(F4-B20)+D20,0)</f>
        <v>0</v>
      </c>
      <c r="G20" s="19">
        <f>IF(AND(G4&gt;B20,G4&lt;=C20),(E20-D20)/(C20-B20)*(G4-B20)+D20,0)</f>
        <v>0</v>
      </c>
      <c r="H20" s="13">
        <v>14</v>
      </c>
      <c r="I20" s="17">
        <v>200000</v>
      </c>
      <c r="J20" s="17">
        <v>400000</v>
      </c>
      <c r="K20" s="18">
        <v>4450.8</v>
      </c>
      <c r="L20" s="18">
        <v>8276.7</v>
      </c>
      <c r="M20" s="18">
        <f>IF(AND(M4&gt;I20,M4&lt;=J20),(L20-K20)/(J20-I20)*(M4-I20)+K20,0)</f>
        <v>0</v>
      </c>
      <c r="N20" s="19">
        <f>IF(AND(N4&gt;I20,N4&lt;=J20),(L20-K20)/(J20-I20)*(N4-I20)+K20,0)</f>
        <v>0</v>
      </c>
      <c r="O20" s="13">
        <v>14</v>
      </c>
      <c r="P20" s="17">
        <v>200000</v>
      </c>
      <c r="Q20" s="17">
        <v>400000</v>
      </c>
      <c r="R20" s="18">
        <v>4450.8</v>
      </c>
      <c r="S20" s="18">
        <v>8276.7</v>
      </c>
      <c r="T20" s="18">
        <f>IF(AND(T4&gt;P20,T4&lt;=Q20),(S20-R20)/(Q20-P20)*(T4-P20)+R20,0)</f>
        <v>0</v>
      </c>
      <c r="U20" s="19">
        <f>IF(AND(U4&gt;P20,U4&lt;=Q20),(S20-R20)/(Q20-P20)*(U4-P20)+R20,0)</f>
        <v>0</v>
      </c>
      <c r="V20" s="38"/>
      <c r="W20" s="13">
        <v>15</v>
      </c>
      <c r="X20" s="17">
        <v>400000</v>
      </c>
      <c r="Y20" s="17">
        <v>600000</v>
      </c>
      <c r="Z20" s="18">
        <v>8276.7</v>
      </c>
      <c r="AA20" s="18">
        <v>11897.5</v>
      </c>
      <c r="AB20" s="19">
        <f>IF(AND(AB3&gt;X20,AB3&lt;=Y20),(AA20-Z20)/(Y20-X20)*(AB3-X20)+Z20,0)</f>
        <v>0</v>
      </c>
      <c r="AC20" s="13">
        <v>15</v>
      </c>
      <c r="AD20" s="17">
        <v>400000</v>
      </c>
      <c r="AE20" s="17">
        <v>600000</v>
      </c>
      <c r="AF20" s="18">
        <v>8276.7</v>
      </c>
      <c r="AG20" s="18">
        <v>11897.5</v>
      </c>
      <c r="AH20" s="19">
        <f>IF(AND(AH3&gt;AD20,AH3&lt;=AE20),(AG20-AF20)/(AE20-AD20)*(AH3-AD20)+AF20,0)</f>
        <v>0</v>
      </c>
      <c r="AI20" s="13">
        <v>15</v>
      </c>
      <c r="AJ20" s="17">
        <v>400000</v>
      </c>
      <c r="AK20" s="17">
        <v>600000</v>
      </c>
      <c r="AL20" s="18">
        <v>8276.7</v>
      </c>
      <c r="AM20" s="18">
        <v>11897.5</v>
      </c>
      <c r="AN20" s="19">
        <f>IF(AND(AN3&gt;AJ20,AN3&lt;=AK20),(AM20-AL20)/(AK20-AJ20)*(AN3-AJ20)+AL20,0)</f>
        <v>0</v>
      </c>
      <c r="AO20" s="38"/>
      <c r="AP20" s="54" t="s">
        <v>133</v>
      </c>
      <c r="AQ20" s="55"/>
      <c r="AR20" s="55"/>
      <c r="AS20" s="55"/>
      <c r="AT20" s="55"/>
      <c r="AU20" s="55"/>
      <c r="AV20" s="56">
        <f>SUM(AV6:AV18)</f>
        <v>0</v>
      </c>
      <c r="AW20" s="54" t="s">
        <v>133</v>
      </c>
      <c r="AX20" s="55"/>
      <c r="AY20" s="55"/>
      <c r="AZ20" s="55"/>
      <c r="BA20" s="55"/>
      <c r="BB20" s="55"/>
      <c r="BC20" s="56">
        <f>SUM(BC6:BC18)</f>
        <v>0</v>
      </c>
      <c r="BD20" s="54" t="s">
        <v>133</v>
      </c>
      <c r="BE20" s="55"/>
      <c r="BF20" s="55"/>
      <c r="BG20" s="55"/>
      <c r="BH20" s="55"/>
      <c r="BI20" s="55"/>
      <c r="BJ20" s="56">
        <f>SUM(BJ6:BJ18)</f>
        <v>0</v>
      </c>
      <c r="BK20" s="38"/>
      <c r="BL20" s="65" t="s">
        <v>50</v>
      </c>
      <c r="BM20" s="65"/>
      <c r="BN20" s="65"/>
      <c r="BO20" s="65"/>
      <c r="BP20" s="65"/>
      <c r="BQ20" s="65"/>
      <c r="BR20" s="38"/>
      <c r="BS20" s="53" t="s">
        <v>113</v>
      </c>
      <c r="BT20" s="17">
        <v>10000</v>
      </c>
      <c r="BU20" s="63">
        <v>0.0007</v>
      </c>
      <c r="BV20" s="18" t="e">
        <f>IF((BW16-BT20)&gt;0,(BW16-BT19)*BU20,0)</f>
        <v>#REF!</v>
      </c>
      <c r="BW20" s="99"/>
      <c r="BX20" s="53" t="s">
        <v>113</v>
      </c>
      <c r="BY20" s="17">
        <v>10000</v>
      </c>
      <c r="BZ20" s="63">
        <v>0.0007</v>
      </c>
      <c r="CA20" s="18" t="e">
        <f>IF((CB16-BY20)&gt;0,(CB16-BY19)*BZ20,0)</f>
        <v>#REF!</v>
      </c>
      <c r="CB20" s="99"/>
      <c r="CC20" s="53" t="s">
        <v>113</v>
      </c>
      <c r="CD20" s="17">
        <v>10000</v>
      </c>
      <c r="CE20" s="63">
        <v>0.0007</v>
      </c>
      <c r="CF20" s="18" t="e">
        <f>IF((CG16-CD20)&gt;0,(CG16-CD19)*CE20,0)</f>
        <v>#REF!</v>
      </c>
      <c r="CG20" s="99"/>
      <c r="CH20" s="38"/>
      <c r="CI20" s="38"/>
      <c r="CJ20" s="114" t="s">
        <v>134</v>
      </c>
      <c r="CK20" s="114"/>
      <c r="CL20" s="114"/>
      <c r="CM20" s="114"/>
      <c r="CN20" s="114"/>
      <c r="CO20" s="114"/>
      <c r="CP20" s="114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13">
        <v>10</v>
      </c>
      <c r="DG20" s="17">
        <v>70000</v>
      </c>
      <c r="DH20" s="22">
        <v>0.011</v>
      </c>
      <c r="DI20" s="140">
        <v>70000</v>
      </c>
      <c r="DJ20" s="134">
        <f t="shared" si="0"/>
        <v>0.011</v>
      </c>
      <c r="DL20" s="138">
        <v>15</v>
      </c>
      <c r="DM20" s="141">
        <v>400000</v>
      </c>
      <c r="DN20" s="141">
        <v>600000</v>
      </c>
      <c r="DO20" s="142">
        <v>620</v>
      </c>
      <c r="DP20" s="142">
        <v>834</v>
      </c>
      <c r="DQ20" s="142" t="e">
        <f>IF(AND(DQ3&gt;DM20,DQ3&lt;=DN20),(DP20-DO20)/(DN20-DM20)*(DQ3-DM20)+DO20,0)</f>
        <v>#REF!</v>
      </c>
    </row>
    <row r="21" spans="1:121">
      <c r="A21" s="13">
        <v>15</v>
      </c>
      <c r="B21" s="17">
        <v>400000</v>
      </c>
      <c r="C21" s="17">
        <v>600000</v>
      </c>
      <c r="D21" s="18">
        <v>8276.7</v>
      </c>
      <c r="E21" s="18">
        <v>11897.5</v>
      </c>
      <c r="F21" s="18">
        <f>IF(AND(F4&gt;B21,F4&lt;=C21),(E21-D21)/(C21-B21)*(F4-B21)+D21,0)</f>
        <v>0</v>
      </c>
      <c r="G21" s="19">
        <f>IF(AND(G4&gt;B21,G4&lt;=C21),(E21-D21)/(C21-B21)*(G4-B21)+D21,0)</f>
        <v>0</v>
      </c>
      <c r="H21" s="13">
        <v>15</v>
      </c>
      <c r="I21" s="17">
        <v>400000</v>
      </c>
      <c r="J21" s="17">
        <v>600000</v>
      </c>
      <c r="K21" s="18">
        <v>8276.7</v>
      </c>
      <c r="L21" s="18">
        <v>11897.5</v>
      </c>
      <c r="M21" s="18">
        <f>IF(AND(M4&gt;I21,M4&lt;=J21),(L21-K21)/(J21-I21)*(M4-I21)+K21,0)</f>
        <v>0</v>
      </c>
      <c r="N21" s="19">
        <f>IF(AND(N4&gt;I21,N4&lt;=J21),(L21-K21)/(J21-I21)*(N4-I21)+K21,0)</f>
        <v>0</v>
      </c>
      <c r="O21" s="13">
        <v>15</v>
      </c>
      <c r="P21" s="17">
        <v>400000</v>
      </c>
      <c r="Q21" s="17">
        <v>600000</v>
      </c>
      <c r="R21" s="18">
        <v>8276.7</v>
      </c>
      <c r="S21" s="18">
        <v>11897.5</v>
      </c>
      <c r="T21" s="18">
        <f>IF(AND(T4&gt;P21,T4&lt;=Q21),(S21-R21)/(Q21-P21)*(T4-P21)+R21,0)</f>
        <v>0</v>
      </c>
      <c r="U21" s="19">
        <f>IF(AND(U4&gt;P21,U4&lt;=Q21),(S21-R21)/(Q21-P21)*(U4-P21)+R21,0)</f>
        <v>0</v>
      </c>
      <c r="V21" s="38"/>
      <c r="W21" s="13">
        <v>16</v>
      </c>
      <c r="X21" s="17">
        <v>600000</v>
      </c>
      <c r="Y21" s="17">
        <v>800000</v>
      </c>
      <c r="Z21" s="18">
        <v>11897.5</v>
      </c>
      <c r="AA21" s="18">
        <v>15391.4</v>
      </c>
      <c r="AB21" s="19">
        <f>IF(AND(AB3&gt;X21,AB3&lt;=Y21),(AA21-Z21)/(Y21-X21)*(AB3-X21)+Z21,0)</f>
        <v>0</v>
      </c>
      <c r="AC21" s="13">
        <v>16</v>
      </c>
      <c r="AD21" s="17">
        <v>600000</v>
      </c>
      <c r="AE21" s="17">
        <v>800000</v>
      </c>
      <c r="AF21" s="18">
        <v>11897.5</v>
      </c>
      <c r="AG21" s="18">
        <v>15391.4</v>
      </c>
      <c r="AH21" s="19">
        <f>IF(AND(AH3&gt;AD21,AH3&lt;=AE21),(AG21-AF21)/(AE21-AD21)*(AH3-AD21)+AF21,0)</f>
        <v>0</v>
      </c>
      <c r="AI21" s="13">
        <v>16</v>
      </c>
      <c r="AJ21" s="17">
        <v>600000</v>
      </c>
      <c r="AK21" s="17">
        <v>800000</v>
      </c>
      <c r="AL21" s="18">
        <v>11897.5</v>
      </c>
      <c r="AM21" s="18">
        <v>15391.4</v>
      </c>
      <c r="AN21" s="19">
        <f>IF(AND(AN3&gt;AJ21,AN3&lt;=AK21),(AM21-AL21)/(AK21-AJ21)*(AN3-AJ21)+AL21,0)</f>
        <v>0</v>
      </c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67" t="s">
        <v>65</v>
      </c>
      <c r="BM21" s="67"/>
      <c r="BN21" s="67"/>
      <c r="BO21" s="67"/>
      <c r="BP21" s="67"/>
      <c r="BQ21" s="67" t="e">
        <f>BQ3</f>
        <v>#REF!</v>
      </c>
      <c r="BR21" s="38"/>
      <c r="BS21" s="85"/>
      <c r="BT21" s="32" t="s">
        <v>119</v>
      </c>
      <c r="BU21" s="32"/>
      <c r="BV21" s="101" t="e">
        <f>SUM(BV16:BV20)</f>
        <v>#REF!</v>
      </c>
      <c r="BW21" s="102" t="e">
        <f>BV21</f>
        <v>#REF!</v>
      </c>
      <c r="BX21" s="85"/>
      <c r="BY21" s="32" t="s">
        <v>119</v>
      </c>
      <c r="BZ21" s="32"/>
      <c r="CA21" s="101" t="e">
        <f>SUM(CA16:CA20)</f>
        <v>#REF!</v>
      </c>
      <c r="CB21" s="102" t="e">
        <f>CA21</f>
        <v>#REF!</v>
      </c>
      <c r="CC21" s="85"/>
      <c r="CD21" s="32" t="s">
        <v>119</v>
      </c>
      <c r="CE21" s="32"/>
      <c r="CF21" s="101" t="e">
        <f>SUM(CF16:CF20)</f>
        <v>#REF!</v>
      </c>
      <c r="CG21" s="102" t="e">
        <f>CF21</f>
        <v>#REF!</v>
      </c>
      <c r="CH21" s="38"/>
      <c r="CI21" s="38"/>
      <c r="CJ21" s="58" t="s">
        <v>57</v>
      </c>
      <c r="CK21" s="59"/>
      <c r="CL21" s="59"/>
      <c r="CM21" s="59"/>
      <c r="CN21" s="60"/>
      <c r="CO21" s="61">
        <f>[2]估算总表!E3</f>
        <v>0</v>
      </c>
      <c r="CP21" s="62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13">
        <v>11</v>
      </c>
      <c r="DG21" s="17">
        <v>100000</v>
      </c>
      <c r="DH21" s="22">
        <v>0.009</v>
      </c>
      <c r="DI21" s="140">
        <v>100000</v>
      </c>
      <c r="DJ21" s="134">
        <f t="shared" si="0"/>
        <v>0.009</v>
      </c>
      <c r="DL21" s="138">
        <v>16</v>
      </c>
      <c r="DM21" s="141">
        <v>600000</v>
      </c>
      <c r="DN21" s="141">
        <v>800000</v>
      </c>
      <c r="DO21" s="142">
        <v>834</v>
      </c>
      <c r="DP21" s="142">
        <v>1000</v>
      </c>
      <c r="DQ21" s="142" t="e">
        <f>IF(AND(DQ3&gt;DM21,DQ3&lt;=DN21),(DP21-DO21)/(DN21-DM21)*(DQ3-DM21)+DO21,0)</f>
        <v>#REF!</v>
      </c>
    </row>
    <row r="22" spans="1:121">
      <c r="A22" s="13">
        <v>16</v>
      </c>
      <c r="B22" s="17">
        <v>600000</v>
      </c>
      <c r="C22" s="17">
        <v>800000</v>
      </c>
      <c r="D22" s="18">
        <v>11897.5</v>
      </c>
      <c r="E22" s="18">
        <v>15391.4</v>
      </c>
      <c r="F22" s="18">
        <f>IF(AND(F4&gt;B22,F4&lt;=C22),(E22-D22)/(C22-B22)*(F4-B22)+D22,0)</f>
        <v>0</v>
      </c>
      <c r="G22" s="19">
        <f>IF(AND(G4&gt;B22,G4&lt;=C22),(E22-D22)/(C22-B22)*(G4-B22)+D22,0)</f>
        <v>0</v>
      </c>
      <c r="H22" s="13">
        <v>16</v>
      </c>
      <c r="I22" s="17">
        <v>600000</v>
      </c>
      <c r="J22" s="17">
        <v>800000</v>
      </c>
      <c r="K22" s="18">
        <v>11897.5</v>
      </c>
      <c r="L22" s="18">
        <v>15391.4</v>
      </c>
      <c r="M22" s="18">
        <f>IF(AND(M4&gt;I22,M4&lt;=J22),(L22-K22)/(J22-I22)*(M4-I22)+K22,0)</f>
        <v>0</v>
      </c>
      <c r="N22" s="19">
        <f>IF(AND(N4&gt;I22,N4&lt;=J22),(L22-K22)/(J22-I22)*(N4-I22)+K22,0)</f>
        <v>0</v>
      </c>
      <c r="O22" s="13">
        <v>16</v>
      </c>
      <c r="P22" s="17">
        <v>600000</v>
      </c>
      <c r="Q22" s="17">
        <v>800000</v>
      </c>
      <c r="R22" s="18">
        <v>11897.5</v>
      </c>
      <c r="S22" s="18">
        <v>15391.4</v>
      </c>
      <c r="T22" s="18">
        <f>IF(AND(T4&gt;P22,T4&lt;=Q22),(S22-R22)/(Q22-P22)*(T4-P22)+R22,0)</f>
        <v>0</v>
      </c>
      <c r="U22" s="19">
        <f>IF(AND(U4&gt;P22,U4&lt;=Q22),(S22-R22)/(Q22-P22)*(U4-P22)+R22,0)</f>
        <v>0</v>
      </c>
      <c r="V22" s="38"/>
      <c r="W22" s="13">
        <v>17</v>
      </c>
      <c r="X22" s="17">
        <v>800000</v>
      </c>
      <c r="Y22" s="17">
        <v>1000000</v>
      </c>
      <c r="Z22" s="18">
        <v>15391.4</v>
      </c>
      <c r="AA22" s="18">
        <v>18793.8</v>
      </c>
      <c r="AB22" s="19">
        <f>IF(AND(AB3&gt;X22,AB3&lt;=Y22),(AA22-Z22)/(Y22-X22)*(AB3-X22)+Z22,0)</f>
        <v>0</v>
      </c>
      <c r="AC22" s="13">
        <v>17</v>
      </c>
      <c r="AD22" s="17">
        <v>800000</v>
      </c>
      <c r="AE22" s="17">
        <v>1000000</v>
      </c>
      <c r="AF22" s="18">
        <v>15391.4</v>
      </c>
      <c r="AG22" s="18">
        <v>18793.8</v>
      </c>
      <c r="AH22" s="19">
        <f>IF(AND(AH3&gt;AD22,AH3&lt;=AE22),(AG22-AF22)/(AE22-AD22)*(AH3-AD22)+AF22,0)</f>
        <v>0</v>
      </c>
      <c r="AI22" s="13">
        <v>17</v>
      </c>
      <c r="AJ22" s="17">
        <v>800000</v>
      </c>
      <c r="AK22" s="17">
        <v>1000000</v>
      </c>
      <c r="AL22" s="18">
        <v>15391.4</v>
      </c>
      <c r="AM22" s="18">
        <v>18793.8</v>
      </c>
      <c r="AN22" s="19">
        <f>IF(AND(AN3&gt;AJ22,AN3&lt;=AK22),(AM22-AL22)/(AK22-AJ22)*(AN3-AJ22)+AL22,0)</f>
        <v>0</v>
      </c>
      <c r="AO22" s="38"/>
      <c r="AP22" s="47" t="s">
        <v>39</v>
      </c>
      <c r="AQ22" s="1"/>
      <c r="AR22" s="1"/>
      <c r="AS22" s="1"/>
      <c r="AT22" s="1"/>
      <c r="AU22" s="1"/>
      <c r="AV22" s="1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69" t="s">
        <v>2</v>
      </c>
      <c r="BM22" s="69" t="s">
        <v>84</v>
      </c>
      <c r="BN22" s="69"/>
      <c r="BO22" s="69" t="s">
        <v>135</v>
      </c>
      <c r="BP22" s="69"/>
      <c r="BQ22" s="78" t="s">
        <v>136</v>
      </c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7" t="s">
        <v>137</v>
      </c>
      <c r="CK22" s="8"/>
      <c r="CL22" s="8"/>
      <c r="CM22" s="8"/>
      <c r="CN22" s="8"/>
      <c r="CO22" s="11">
        <f>CO31*CO32*CO33*CO34*CO35*(1-CO36)</f>
        <v>0</v>
      </c>
      <c r="CP22" s="12">
        <f>CP31*CP32*CP33*CP34*CP35*(1-CP36)</f>
        <v>0</v>
      </c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1">
        <v>12</v>
      </c>
      <c r="DG22" s="32">
        <v>300000</v>
      </c>
      <c r="DH22" s="124">
        <v>0.007</v>
      </c>
      <c r="DI22" s="144">
        <v>300000</v>
      </c>
      <c r="DJ22" s="148">
        <v>0.007</v>
      </c>
      <c r="DL22" s="138">
        <v>17</v>
      </c>
      <c r="DM22" s="141">
        <v>800000</v>
      </c>
      <c r="DN22" s="141">
        <v>1000000</v>
      </c>
      <c r="DO22" s="142">
        <v>1000</v>
      </c>
      <c r="DP22" s="142">
        <v>1130</v>
      </c>
      <c r="DQ22" s="142" t="e">
        <f>IF(AND(DQ3&gt;DM22,DQ3&lt;=DN22),(DP22-DO22)/(DN22-DM22)*(DQ3-DM22)+DO22,0)</f>
        <v>#REF!</v>
      </c>
    </row>
    <row r="23" spans="1:121">
      <c r="A23" s="13">
        <v>17</v>
      </c>
      <c r="B23" s="17">
        <v>800000</v>
      </c>
      <c r="C23" s="17">
        <v>1000000</v>
      </c>
      <c r="D23" s="18">
        <v>15391.4</v>
      </c>
      <c r="E23" s="18">
        <v>18793.8</v>
      </c>
      <c r="F23" s="18">
        <f>IF(AND(F4&gt;B23,F4&lt;=C23),(E23-D23)/(C23-B23)*(F4-B23)+D23,0)</f>
        <v>0</v>
      </c>
      <c r="G23" s="19">
        <f>IF(AND(G4&gt;B23,G4&lt;=C23),(E23-D23)/(C23-B23)*(G4-B23)+D23,0)</f>
        <v>0</v>
      </c>
      <c r="H23" s="13">
        <v>17</v>
      </c>
      <c r="I23" s="17">
        <v>800000</v>
      </c>
      <c r="J23" s="17">
        <v>1000000</v>
      </c>
      <c r="K23" s="18">
        <v>15391.4</v>
      </c>
      <c r="L23" s="18">
        <v>18793.8</v>
      </c>
      <c r="M23" s="18">
        <f>IF(AND(M4&gt;I23,M4&lt;=J23),(L23-K23)/(J23-I23)*(M4-I23)+K23,0)</f>
        <v>0</v>
      </c>
      <c r="N23" s="19">
        <f>IF(AND(N4&gt;I23,N4&lt;=J23),(L23-K23)/(J23-I23)*(N4-I23)+K23,0)</f>
        <v>0</v>
      </c>
      <c r="O23" s="13">
        <v>17</v>
      </c>
      <c r="P23" s="17">
        <v>800000</v>
      </c>
      <c r="Q23" s="17">
        <v>1000000</v>
      </c>
      <c r="R23" s="18">
        <v>15391.4</v>
      </c>
      <c r="S23" s="18">
        <v>18793.8</v>
      </c>
      <c r="T23" s="18">
        <f>IF(AND(T4&gt;P23,T4&lt;=Q23),(S23-R23)/(Q23-P23)*(T4-P23)+R23,0)</f>
        <v>0</v>
      </c>
      <c r="U23" s="19">
        <f>IF(AND(U4&gt;P23,U4&lt;=Q23),(S23-R23)/(Q23-P23)*(U4-P23)+R23,0)</f>
        <v>0</v>
      </c>
      <c r="V23" s="38"/>
      <c r="W23" s="13">
        <v>18</v>
      </c>
      <c r="X23" s="17">
        <v>1000000</v>
      </c>
      <c r="Y23" s="17">
        <v>2000000</v>
      </c>
      <c r="Z23" s="18">
        <v>18793.8</v>
      </c>
      <c r="AA23" s="18">
        <v>34948.9</v>
      </c>
      <c r="AB23" s="19">
        <f>IF(AND(AB3&gt;X23,AB3&lt;=Y23),(AA23-Z23)/(Y23-X23)*(AB3-X23)+Z23,0)</f>
        <v>0</v>
      </c>
      <c r="AC23" s="13">
        <v>18</v>
      </c>
      <c r="AD23" s="17">
        <v>1000000</v>
      </c>
      <c r="AE23" s="17">
        <v>2000000</v>
      </c>
      <c r="AF23" s="18">
        <v>18793.8</v>
      </c>
      <c r="AG23" s="18">
        <v>34948.9</v>
      </c>
      <c r="AH23" s="19">
        <f>IF(AND(AH3&gt;AD23,AH3&lt;=AE23),(AG23-AF23)/(AE23-AD23)*(AH3-AD23)+AF23,0)</f>
        <v>0</v>
      </c>
      <c r="AI23" s="13">
        <v>18</v>
      </c>
      <c r="AJ23" s="17">
        <v>1000000</v>
      </c>
      <c r="AK23" s="17">
        <v>2000000</v>
      </c>
      <c r="AL23" s="18">
        <v>18793.8</v>
      </c>
      <c r="AM23" s="18">
        <v>34948.9</v>
      </c>
      <c r="AN23" s="19">
        <f>IF(AND(AN3&gt;AJ23,AN3&lt;=AK23),(AM23-AL23)/(AK23-AJ23)*(AN3-AJ23)+AL23,0)</f>
        <v>0</v>
      </c>
      <c r="AO23" s="38"/>
      <c r="AP23" s="57" t="s">
        <v>138</v>
      </c>
      <c r="AQ23" s="1"/>
      <c r="AR23" s="1"/>
      <c r="AS23" s="1"/>
      <c r="AT23" s="1"/>
      <c r="AU23" s="1"/>
      <c r="AV23" s="37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69"/>
      <c r="BM23" s="69" t="s">
        <v>95</v>
      </c>
      <c r="BN23" s="69"/>
      <c r="BO23" s="69" t="s">
        <v>96</v>
      </c>
      <c r="BP23" s="69"/>
      <c r="BQ23" s="69"/>
      <c r="BR23" s="38"/>
      <c r="BS23" s="47" t="s">
        <v>139</v>
      </c>
      <c r="BT23" s="1"/>
      <c r="BU23" s="1"/>
      <c r="BV23" s="1"/>
      <c r="BW23" s="93"/>
      <c r="BX23" s="47" t="s">
        <v>139</v>
      </c>
      <c r="BY23" s="1"/>
      <c r="BZ23" s="1"/>
      <c r="CA23" s="1"/>
      <c r="CB23" s="1"/>
      <c r="CC23" s="47" t="s">
        <v>139</v>
      </c>
      <c r="CD23" s="1"/>
      <c r="CE23" s="1"/>
      <c r="CF23" s="1"/>
      <c r="CG23" s="1"/>
      <c r="CH23" s="38"/>
      <c r="CI23" s="38"/>
      <c r="CJ23" s="13" t="s">
        <v>2</v>
      </c>
      <c r="CK23" s="14" t="s">
        <v>90</v>
      </c>
      <c r="CL23" s="14"/>
      <c r="CM23" s="14" t="s">
        <v>91</v>
      </c>
      <c r="CN23" s="14"/>
      <c r="CO23" s="15" t="s">
        <v>92</v>
      </c>
      <c r="CP23" s="16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7"/>
      <c r="DG23" s="38"/>
      <c r="DH23" s="126"/>
      <c r="DI23" s="38"/>
      <c r="DJ23" s="126"/>
      <c r="DL23" s="138">
        <v>18</v>
      </c>
      <c r="DM23" s="141">
        <v>1000000</v>
      </c>
      <c r="DN23" s="141">
        <v>2000000</v>
      </c>
      <c r="DO23" s="142">
        <v>1130</v>
      </c>
      <c r="DP23" s="142">
        <v>1760</v>
      </c>
      <c r="DQ23" s="142" t="e">
        <f>IF(AND(DQ3&gt;DM23,DQ3&lt;=DN23),(DP23-DO23)/(DN23-DM23)*(DQ3-DM23)+DO23,0)</f>
        <v>#REF!</v>
      </c>
    </row>
    <row r="24" spans="1:121">
      <c r="A24" s="13">
        <v>18</v>
      </c>
      <c r="B24" s="17">
        <v>1000000</v>
      </c>
      <c r="C24" s="17">
        <v>2000000</v>
      </c>
      <c r="D24" s="18">
        <v>18793.8</v>
      </c>
      <c r="E24" s="18">
        <v>34948.9</v>
      </c>
      <c r="F24" s="18">
        <f>IF(AND(F4&gt;B24,F4&lt;=C24),(E24-D24)/(C24-B24)*(F4-B24)+D24,0)</f>
        <v>0</v>
      </c>
      <c r="G24" s="19">
        <f>IF(AND(G4&gt;B24,G4&lt;=C24),(E24-D24)/(C24-B24)*(G4-B24)+D24,0)</f>
        <v>0</v>
      </c>
      <c r="H24" s="13">
        <v>18</v>
      </c>
      <c r="I24" s="17">
        <v>1000000</v>
      </c>
      <c r="J24" s="17">
        <v>2000000</v>
      </c>
      <c r="K24" s="18">
        <v>18793.8</v>
      </c>
      <c r="L24" s="18">
        <v>34948.9</v>
      </c>
      <c r="M24" s="18">
        <f>IF(AND(M4&gt;I24,M4&lt;=J24),(L24-K24)/(J24-I24)*(M4-I24)+K24,0)</f>
        <v>0</v>
      </c>
      <c r="N24" s="19">
        <f>IF(AND(N4&gt;I24,N4&lt;=J24),(L24-K24)/(J24-I24)*(N4-I24)+K24,0)</f>
        <v>0</v>
      </c>
      <c r="O24" s="13">
        <v>18</v>
      </c>
      <c r="P24" s="17">
        <v>1000000</v>
      </c>
      <c r="Q24" s="17">
        <v>2000000</v>
      </c>
      <c r="R24" s="18">
        <v>18793.8</v>
      </c>
      <c r="S24" s="18">
        <v>34948.9</v>
      </c>
      <c r="T24" s="18">
        <f>IF(AND(T4&gt;P24,T4&lt;=Q24),(S24-R24)/(Q24-P24)*(T4-P24)+R24,0)</f>
        <v>0</v>
      </c>
      <c r="U24" s="19">
        <f>IF(AND(U4&gt;P24,U4&lt;=Q24),(S24-R24)/(Q24-P24)*(U4-P24)+R24,0)</f>
        <v>0</v>
      </c>
      <c r="V24" s="38"/>
      <c r="W24" s="13">
        <v>19</v>
      </c>
      <c r="X24" s="17">
        <v>2000000</v>
      </c>
      <c r="Y24" s="15" t="s">
        <v>101</v>
      </c>
      <c r="Z24" s="18"/>
      <c r="AA24" s="22">
        <v>0.017</v>
      </c>
      <c r="AB24" s="19">
        <f>IF((AB3&gt;X24),AB3*AA24,0)</f>
        <v>0</v>
      </c>
      <c r="AC24" s="13">
        <v>19</v>
      </c>
      <c r="AD24" s="17">
        <v>2000000</v>
      </c>
      <c r="AE24" s="15" t="s">
        <v>101</v>
      </c>
      <c r="AF24" s="18"/>
      <c r="AG24" s="22">
        <v>0.017</v>
      </c>
      <c r="AH24" s="19">
        <f>IF((AH3&gt;AD24),AH3*AG24,0)</f>
        <v>0</v>
      </c>
      <c r="AI24" s="13">
        <v>19</v>
      </c>
      <c r="AJ24" s="17">
        <v>2000000</v>
      </c>
      <c r="AK24" s="15" t="s">
        <v>101</v>
      </c>
      <c r="AL24" s="18"/>
      <c r="AM24" s="22">
        <v>0.017</v>
      </c>
      <c r="AN24" s="19">
        <f>IF((AN3&gt;AJ24),AN3*AM24,0)</f>
        <v>0</v>
      </c>
      <c r="AO24" s="38"/>
      <c r="AP24" s="58" t="s">
        <v>57</v>
      </c>
      <c r="AQ24" s="59"/>
      <c r="AR24" s="59"/>
      <c r="AS24" s="59"/>
      <c r="AT24" s="60"/>
      <c r="AU24" s="61">
        <f>G4</f>
        <v>0</v>
      </c>
      <c r="AV24" s="62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69">
        <v>1</v>
      </c>
      <c r="BM24" s="81">
        <v>0</v>
      </c>
      <c r="BN24" s="81">
        <v>3000</v>
      </c>
      <c r="BO24" s="82">
        <v>0</v>
      </c>
      <c r="BP24" s="82">
        <v>4</v>
      </c>
      <c r="BQ24" s="82" t="e">
        <f>IF(AND(BQ21&gt;BM24,BQ21&lt;=BN24),(BP24-BO24)/(BN24-BM24)*(BQ21-BM24)+BO24,0)</f>
        <v>#REF!</v>
      </c>
      <c r="BR24" s="38"/>
      <c r="BS24" s="65" t="s">
        <v>126</v>
      </c>
      <c r="BT24" s="65"/>
      <c r="BU24" s="65"/>
      <c r="BV24" s="65"/>
      <c r="BW24" s="65"/>
      <c r="BX24" s="65" t="s">
        <v>126</v>
      </c>
      <c r="BY24" s="65"/>
      <c r="BZ24" s="65"/>
      <c r="CA24" s="65"/>
      <c r="CB24" s="65"/>
      <c r="CC24" s="65" t="s">
        <v>126</v>
      </c>
      <c r="CD24" s="65"/>
      <c r="CE24" s="65"/>
      <c r="CF24" s="65"/>
      <c r="CG24" s="65"/>
      <c r="CH24" s="38"/>
      <c r="CI24" s="38"/>
      <c r="CJ24" s="13">
        <v>1</v>
      </c>
      <c r="CK24" s="17">
        <v>0</v>
      </c>
      <c r="CL24" s="17">
        <f>10000*0.3</f>
        <v>3000</v>
      </c>
      <c r="CM24" s="18">
        <v>5</v>
      </c>
      <c r="CN24" s="18">
        <v>6</v>
      </c>
      <c r="CO24" s="18">
        <f>IF(AND(CO21&gt;CK24,CO21&lt;=CL24),(CN24-CM24)/(CL24-CK24)*(CO21-CK24)+CM24,0)</f>
        <v>0</v>
      </c>
      <c r="CP24" s="19">
        <f>IF(AND(CP21&gt;CK24,CP21&lt;=CL24),(CN24-CM24)/(CL24-CK24)*(CP21-CK24)+CM24,0)</f>
        <v>0</v>
      </c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7" t="s">
        <v>140</v>
      </c>
      <c r="DG24" s="38" t="s">
        <v>141</v>
      </c>
      <c r="DH24" s="38"/>
      <c r="DI24" s="38" t="s">
        <v>142</v>
      </c>
      <c r="DJ24" s="38" t="s">
        <v>143</v>
      </c>
      <c r="DL24" s="138">
        <v>19</v>
      </c>
      <c r="DM24" s="141">
        <v>2000000</v>
      </c>
      <c r="DN24" s="138" t="s">
        <v>101</v>
      </c>
      <c r="DO24" s="142">
        <v>1760</v>
      </c>
      <c r="DP24" s="149">
        <v>0.00088</v>
      </c>
      <c r="DQ24" s="142" t="e">
        <f>IF((DQ3&gt;DM24),DQ3*DP24,0)</f>
        <v>#REF!</v>
      </c>
    </row>
    <row r="25" spans="1:121">
      <c r="A25" s="13">
        <v>19</v>
      </c>
      <c r="B25" s="17">
        <v>2000000</v>
      </c>
      <c r="C25" s="15" t="s">
        <v>101</v>
      </c>
      <c r="D25" s="18"/>
      <c r="E25" s="22">
        <v>0.016</v>
      </c>
      <c r="F25" s="18">
        <f>IF((F4&gt;B25),F4*E25,0)</f>
        <v>0</v>
      </c>
      <c r="G25" s="19">
        <f>IF((G4&gt;B25),G4*E25,0)</f>
        <v>0</v>
      </c>
      <c r="H25" s="13">
        <v>19</v>
      </c>
      <c r="I25" s="17">
        <v>2000000</v>
      </c>
      <c r="J25" s="15" t="s">
        <v>101</v>
      </c>
      <c r="K25" s="18"/>
      <c r="L25" s="22">
        <v>0.016</v>
      </c>
      <c r="M25" s="18">
        <f>IF((M4&gt;I25),M4*L25,0)</f>
        <v>0</v>
      </c>
      <c r="N25" s="19">
        <f>IF((N4&gt;I25),N4*L25,0)</f>
        <v>0</v>
      </c>
      <c r="O25" s="13">
        <v>19</v>
      </c>
      <c r="P25" s="17">
        <v>2000000</v>
      </c>
      <c r="Q25" s="15" t="s">
        <v>101</v>
      </c>
      <c r="R25" s="18"/>
      <c r="S25" s="22">
        <v>0.016</v>
      </c>
      <c r="T25" s="18">
        <f>IF((T4&gt;P25),T4*S25,0)</f>
        <v>0</v>
      </c>
      <c r="U25" s="19">
        <f>IF((U4&gt;P25),U4*S25,0)</f>
        <v>0</v>
      </c>
      <c r="V25" s="38"/>
      <c r="W25" s="13"/>
      <c r="X25" s="17"/>
      <c r="Y25" s="17"/>
      <c r="Z25" s="18"/>
      <c r="AA25" s="18"/>
      <c r="AB25" s="19"/>
      <c r="AC25" s="13"/>
      <c r="AD25" s="17"/>
      <c r="AE25" s="17"/>
      <c r="AF25" s="18"/>
      <c r="AG25" s="18"/>
      <c r="AH25" s="19"/>
      <c r="AI25" s="13"/>
      <c r="AJ25" s="17"/>
      <c r="AK25" s="17"/>
      <c r="AL25" s="18"/>
      <c r="AM25" s="18"/>
      <c r="AN25" s="19"/>
      <c r="AO25" s="38"/>
      <c r="AP25" s="7" t="s">
        <v>144</v>
      </c>
      <c r="AQ25" s="8"/>
      <c r="AR25" s="8"/>
      <c r="AS25" s="8"/>
      <c r="AT25" s="8"/>
      <c r="AU25" s="11">
        <f>AU46*AU47*AU48*AU49*AU50*(1-AU51)</f>
        <v>0</v>
      </c>
      <c r="AV25" s="12" t="e">
        <f ca="1">AV46*AV47*AV48*AV49*AV50*(1-AV51)</f>
        <v>#REF!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69">
        <v>2</v>
      </c>
      <c r="BM25" s="81">
        <v>3000</v>
      </c>
      <c r="BN25" s="81">
        <v>10000</v>
      </c>
      <c r="BO25" s="82">
        <v>4</v>
      </c>
      <c r="BP25" s="82">
        <v>8</v>
      </c>
      <c r="BQ25" s="82" t="e">
        <f>IF(AND(BQ21&gt;BM25,BQ21&lt;=BN25),(BP25-BO25)/(BN25-BM25)*(BQ21-BM25)+BO25,0)</f>
        <v>#REF!</v>
      </c>
      <c r="BR25" s="38"/>
      <c r="BS25" s="76"/>
      <c r="BT25" s="77" t="s">
        <v>66</v>
      </c>
      <c r="BU25" s="77" t="s">
        <v>67</v>
      </c>
      <c r="BV25" s="77" t="s">
        <v>68</v>
      </c>
      <c r="BW25" s="96" t="s">
        <v>145</v>
      </c>
      <c r="BX25" s="76"/>
      <c r="BY25" s="77" t="s">
        <v>66</v>
      </c>
      <c r="BZ25" s="77" t="s">
        <v>67</v>
      </c>
      <c r="CA25" s="77" t="s">
        <v>68</v>
      </c>
      <c r="CB25" s="96" t="s">
        <v>145</v>
      </c>
      <c r="CC25" s="76"/>
      <c r="CD25" s="77" t="s">
        <v>66</v>
      </c>
      <c r="CE25" s="77" t="s">
        <v>67</v>
      </c>
      <c r="CF25" s="77" t="s">
        <v>68</v>
      </c>
      <c r="CG25" s="96" t="s">
        <v>145</v>
      </c>
      <c r="CH25" s="38"/>
      <c r="CI25" s="38"/>
      <c r="CJ25" s="13">
        <v>2</v>
      </c>
      <c r="CK25" s="17">
        <f>0.3*10000</f>
        <v>3000</v>
      </c>
      <c r="CL25" s="17">
        <v>20000</v>
      </c>
      <c r="CM25" s="18">
        <v>6</v>
      </c>
      <c r="CN25" s="18">
        <v>15</v>
      </c>
      <c r="CO25" s="18">
        <f>IF(AND(CO21&gt;CK25,CO21&lt;=CL25),(CN25-CM25)/(CL25-CK25)*(CO21-CK25)+CM25,0)</f>
        <v>0</v>
      </c>
      <c r="CP25" s="19">
        <f>IF(AND(CP21&gt;CK25,CP21&lt;=CL25),(CN25-CM25)/(CL25-CK25)*(CP21-CK25)+CM25,0)</f>
        <v>0</v>
      </c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106">
        <v>1</v>
      </c>
      <c r="DG25" s="77" t="s">
        <v>146</v>
      </c>
      <c r="DH25" s="77"/>
      <c r="DI25" s="150"/>
      <c r="DJ25" s="151">
        <f>DI25*0.6*6*1500/10000</f>
        <v>0</v>
      </c>
      <c r="DL25" s="138"/>
      <c r="DM25" s="141"/>
      <c r="DN25" s="152"/>
      <c r="DO25" s="153"/>
      <c r="DP25" s="153"/>
      <c r="DQ25" s="162"/>
    </row>
    <row r="26" spans="1:121">
      <c r="A26" s="13"/>
      <c r="B26" s="17"/>
      <c r="C26" s="17"/>
      <c r="D26" s="18"/>
      <c r="E26" s="18"/>
      <c r="F26" s="18"/>
      <c r="G26" s="19"/>
      <c r="H26" s="13"/>
      <c r="I26" s="17"/>
      <c r="J26" s="17"/>
      <c r="K26" s="18"/>
      <c r="L26" s="18"/>
      <c r="M26" s="18"/>
      <c r="N26" s="19"/>
      <c r="O26" s="13"/>
      <c r="P26" s="17"/>
      <c r="Q26" s="17"/>
      <c r="R26" s="18"/>
      <c r="S26" s="18"/>
      <c r="T26" s="18"/>
      <c r="U26" s="19"/>
      <c r="V26" s="38"/>
      <c r="W26" s="13"/>
      <c r="X26" s="38"/>
      <c r="Y26" s="23" t="s">
        <v>92</v>
      </c>
      <c r="Z26" s="24"/>
      <c r="AA26" s="24"/>
      <c r="AB26" s="26">
        <f>SUM(AB6:AB24)</f>
        <v>0</v>
      </c>
      <c r="AC26" s="13"/>
      <c r="AD26" s="38"/>
      <c r="AE26" s="23" t="s">
        <v>92</v>
      </c>
      <c r="AF26" s="24"/>
      <c r="AG26" s="24"/>
      <c r="AH26" s="26">
        <f>SUM(AH6:AH24)</f>
        <v>0</v>
      </c>
      <c r="AI26" s="13"/>
      <c r="AJ26" s="38"/>
      <c r="AK26" s="23" t="s">
        <v>92</v>
      </c>
      <c r="AL26" s="24"/>
      <c r="AM26" s="24"/>
      <c r="AN26" s="26">
        <f>SUM(AN6:AN24)</f>
        <v>0</v>
      </c>
      <c r="AO26" s="38"/>
      <c r="AP26" s="13" t="s">
        <v>2</v>
      </c>
      <c r="AQ26" s="14" t="s">
        <v>90</v>
      </c>
      <c r="AR26" s="14"/>
      <c r="AS26" s="14" t="s">
        <v>91</v>
      </c>
      <c r="AT26" s="14"/>
      <c r="AU26" s="15" t="s">
        <v>92</v>
      </c>
      <c r="AV26" s="16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69">
        <v>3</v>
      </c>
      <c r="BM26" s="81">
        <v>10000</v>
      </c>
      <c r="BN26" s="81">
        <v>50000</v>
      </c>
      <c r="BO26" s="82">
        <v>8</v>
      </c>
      <c r="BP26" s="82">
        <v>12</v>
      </c>
      <c r="BQ26" s="82" t="e">
        <f>IF(AND(BQ21&gt;BM26,BQ21&lt;=BN26),(BP26-BO26)/(BN26-BM26)*(BQ21-BM26)+BO26,0)</f>
        <v>#REF!</v>
      </c>
      <c r="BR26" s="38"/>
      <c r="BS26" s="79"/>
      <c r="BT26" s="17">
        <v>1000</v>
      </c>
      <c r="BU26" s="63">
        <v>0.0042</v>
      </c>
      <c r="BV26" s="18" t="e">
        <f>IF((BW26-BT26)&gt;0,BT26*BU26,BW26*BU26)</f>
        <v>#REF!</v>
      </c>
      <c r="BW26" s="98" t="e">
        <f>#REF!</f>
        <v>#REF!</v>
      </c>
      <c r="BX26" s="99"/>
      <c r="BY26" s="17">
        <v>1000</v>
      </c>
      <c r="BZ26" s="63">
        <v>0.0042</v>
      </c>
      <c r="CA26" s="18" t="e">
        <f>IF((CB26-BY26)&gt;0,BY26*BZ26,CB26*BZ26)</f>
        <v>#REF!</v>
      </c>
      <c r="CB26" s="98" t="e">
        <f>BW26</f>
        <v>#REF!</v>
      </c>
      <c r="CC26" s="79"/>
      <c r="CD26" s="17">
        <v>1000</v>
      </c>
      <c r="CE26" s="63">
        <v>0.0042</v>
      </c>
      <c r="CF26" s="18" t="e">
        <f>IF((CG26-CD26)&gt;0,CD26*CE26,CG26*CE26)</f>
        <v>#REF!</v>
      </c>
      <c r="CG26" s="98" t="e">
        <f>BW26</f>
        <v>#REF!</v>
      </c>
      <c r="CH26" s="38"/>
      <c r="CI26" s="38"/>
      <c r="CJ26" s="13">
        <v>3</v>
      </c>
      <c r="CK26" s="17">
        <v>20000</v>
      </c>
      <c r="CL26" s="17">
        <v>100000</v>
      </c>
      <c r="CM26" s="18">
        <v>15</v>
      </c>
      <c r="CN26" s="18">
        <v>35</v>
      </c>
      <c r="CO26" s="18">
        <f>IF(AND(CO21&gt;CK26,CO21&lt;=CL26),(CN26-CM26)/(CL26-CK26)*(CO21-CK26)+CM26,0)</f>
        <v>0</v>
      </c>
      <c r="CP26" s="19">
        <f>IF(AND(CP21&gt;CK26,CP21&lt;=CL26),(CN26-CM26)/(CL26-CK26)*(CP21-CK26)+CM26,0)</f>
        <v>0</v>
      </c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1">
        <v>2</v>
      </c>
      <c r="DG26" s="32" t="s">
        <v>147</v>
      </c>
      <c r="DH26" s="32"/>
      <c r="DI26" s="144"/>
      <c r="DJ26" s="154">
        <f>DI26*1500/10000</f>
        <v>0</v>
      </c>
      <c r="DL26" s="138"/>
      <c r="DM26" s="141"/>
      <c r="DN26" s="155" t="s">
        <v>92</v>
      </c>
      <c r="DO26" s="153"/>
      <c r="DP26" s="153"/>
      <c r="DQ26" s="162" t="e">
        <f>SUM(DQ6:DQ24)</f>
        <v>#REF!</v>
      </c>
    </row>
    <row r="27" spans="1:114">
      <c r="A27" s="13"/>
      <c r="B27" s="17"/>
      <c r="C27" s="23" t="s">
        <v>92</v>
      </c>
      <c r="D27" s="24"/>
      <c r="E27" s="24"/>
      <c r="F27" s="25">
        <f>SUM(F7:F25)</f>
        <v>0</v>
      </c>
      <c r="G27" s="26">
        <f>SUM(G7:G25)</f>
        <v>0</v>
      </c>
      <c r="H27" s="13"/>
      <c r="I27" s="17"/>
      <c r="J27" s="23" t="s">
        <v>92</v>
      </c>
      <c r="K27" s="24"/>
      <c r="L27" s="24"/>
      <c r="M27" s="25">
        <f>SUM(M7:M25)</f>
        <v>0</v>
      </c>
      <c r="N27" s="26">
        <f>SUM(N7:N25)</f>
        <v>0</v>
      </c>
      <c r="O27" s="13"/>
      <c r="P27" s="17"/>
      <c r="Q27" s="23" t="s">
        <v>92</v>
      </c>
      <c r="R27" s="24"/>
      <c r="S27" s="24"/>
      <c r="T27" s="25">
        <f>SUM(T7:T25)</f>
        <v>0</v>
      </c>
      <c r="U27" s="26">
        <f>SUM(U7:U25)</f>
        <v>0</v>
      </c>
      <c r="V27" s="38"/>
      <c r="W27" s="13"/>
      <c r="X27" s="17"/>
      <c r="Y27" s="27" t="s">
        <v>148</v>
      </c>
      <c r="Z27" s="24"/>
      <c r="AA27" s="24"/>
      <c r="AB27" s="29">
        <v>1</v>
      </c>
      <c r="AC27" s="13"/>
      <c r="AD27" s="17"/>
      <c r="AE27" s="27" t="s">
        <v>148</v>
      </c>
      <c r="AF27" s="24"/>
      <c r="AG27" s="24"/>
      <c r="AH27" s="29">
        <v>0.79</v>
      </c>
      <c r="AI27" s="13"/>
      <c r="AJ27" s="17"/>
      <c r="AK27" s="27" t="s">
        <v>148</v>
      </c>
      <c r="AL27" s="24"/>
      <c r="AM27" s="24"/>
      <c r="AN27" s="29">
        <v>0.8</v>
      </c>
      <c r="AO27" s="38"/>
      <c r="AP27" s="13">
        <v>1</v>
      </c>
      <c r="AQ27" s="17">
        <v>0</v>
      </c>
      <c r="AR27" s="17">
        <v>500</v>
      </c>
      <c r="AS27" s="18">
        <v>0</v>
      </c>
      <c r="AT27" s="18">
        <v>16.5</v>
      </c>
      <c r="AU27" s="18">
        <f>IF(AND(AU24&gt;AQ27,AU24&lt;=AR27),(AT27-AS27)/(AR27-AQ27)*(AU24-AQ27)+AS27,0)</f>
        <v>0</v>
      </c>
      <c r="AV27" s="19">
        <f>IF(AND(AV24&gt;AQ27,AV24&lt;=AR27),(AT27-AS27)/(AR27-AQ27)*(AV24-AQ27)+AS27,0)</f>
        <v>0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69">
        <v>4</v>
      </c>
      <c r="BM27" s="81">
        <v>50000</v>
      </c>
      <c r="BN27" s="81">
        <v>100000</v>
      </c>
      <c r="BO27" s="82">
        <v>12</v>
      </c>
      <c r="BP27" s="82">
        <v>15</v>
      </c>
      <c r="BQ27" s="82" t="e">
        <f>IF(AND(BQ21&gt;BM27,BQ21&lt;=BN27),(BP27-BO27)/(BN27-BM27)*(BQ21-BM27)+BO27,0)</f>
        <v>#REF!</v>
      </c>
      <c r="BR27" s="38"/>
      <c r="BS27" s="79"/>
      <c r="BT27" s="17">
        <v>3000</v>
      </c>
      <c r="BU27" s="63">
        <v>0.00385</v>
      </c>
      <c r="BV27" s="18" t="e">
        <f>IF((BW26-BT27)&gt;0,(BT27-BT26)*BU27,IF((BW26-BT26)*BU27&gt;0,(BW26-BT26)*BU27,0))</f>
        <v>#REF!</v>
      </c>
      <c r="BX27" s="79"/>
      <c r="BY27" s="17">
        <v>3000</v>
      </c>
      <c r="BZ27" s="63">
        <v>0.00385</v>
      </c>
      <c r="CA27" s="18" t="e">
        <f>IF((CB26-BY27)&gt;0,(BY27-BY26)*BZ27,IF((CB26-BY26)*BZ27&gt;0,(CB26-BY26)*BZ27,0))</f>
        <v>#REF!</v>
      </c>
      <c r="CB27" s="99"/>
      <c r="CC27" s="79"/>
      <c r="CD27" s="17">
        <v>3000</v>
      </c>
      <c r="CE27" s="63">
        <v>0.00385</v>
      </c>
      <c r="CF27" s="18" t="e">
        <f>IF((CG26-CD27)&gt;0,(CD27-CD26)*CE27,IF((CG26-CD26)*CE27&gt;0,(CG26-CD26)*CE27,0))</f>
        <v>#REF!</v>
      </c>
      <c r="CG27" s="99"/>
      <c r="CH27" s="38"/>
      <c r="CI27" s="38"/>
      <c r="CJ27" s="13">
        <v>4</v>
      </c>
      <c r="CK27" s="17">
        <v>100000</v>
      </c>
      <c r="CL27" s="20">
        <v>500000</v>
      </c>
      <c r="CM27" s="18">
        <v>35</v>
      </c>
      <c r="CN27" s="18">
        <v>75</v>
      </c>
      <c r="CO27" s="18">
        <f>IF(AND(CO21&gt;CK27,CO21&lt;=CL27),(CN27-CM27)/(CL27-CK27)*(CO21-CK27)+CM27,0)</f>
        <v>0</v>
      </c>
      <c r="CP27" s="19">
        <f>IF(AND(CP21&gt;CK27,CP21&lt;=CL27),(CN27-CM27)/(CL27-CK27)*(CP21-CK27)+CM27,0)</f>
        <v>0</v>
      </c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40">
        <f>CO22+CO42</f>
        <v>0</v>
      </c>
      <c r="DD27" s="38"/>
      <c r="DE27" s="38"/>
      <c r="DF27" s="37"/>
      <c r="DG27" s="38"/>
      <c r="DH27" s="38"/>
      <c r="DI27" s="38"/>
      <c r="DJ27" s="38"/>
    </row>
    <row r="28" spans="1:114">
      <c r="A28" s="13"/>
      <c r="B28" s="17"/>
      <c r="C28" s="27" t="s">
        <v>148</v>
      </c>
      <c r="D28" s="24"/>
      <c r="E28" s="24"/>
      <c r="F28" s="28">
        <v>0.8</v>
      </c>
      <c r="G28" s="29">
        <v>1</v>
      </c>
      <c r="H28" s="13"/>
      <c r="I28" s="17"/>
      <c r="J28" s="27" t="s">
        <v>148</v>
      </c>
      <c r="K28" s="24"/>
      <c r="L28" s="24"/>
      <c r="M28" s="28">
        <v>1</v>
      </c>
      <c r="N28" s="29">
        <v>1.1</v>
      </c>
      <c r="O28" s="13"/>
      <c r="P28" s="17"/>
      <c r="Q28" s="27" t="s">
        <v>148</v>
      </c>
      <c r="R28" s="24"/>
      <c r="S28" s="24"/>
      <c r="T28" s="28">
        <v>1.1</v>
      </c>
      <c r="U28" s="29">
        <v>1.1</v>
      </c>
      <c r="V28" s="38"/>
      <c r="W28" s="13"/>
      <c r="X28" s="17"/>
      <c r="Y28" s="27" t="s">
        <v>149</v>
      </c>
      <c r="Z28" s="24"/>
      <c r="AA28" s="24"/>
      <c r="AB28" s="29">
        <v>1.15</v>
      </c>
      <c r="AC28" s="13"/>
      <c r="AD28" s="17"/>
      <c r="AE28" s="27" t="s">
        <v>149</v>
      </c>
      <c r="AF28" s="24"/>
      <c r="AG28" s="24"/>
      <c r="AH28" s="29">
        <v>0.85</v>
      </c>
      <c r="AI28" s="13"/>
      <c r="AJ28" s="17"/>
      <c r="AK28" s="27" t="s">
        <v>149</v>
      </c>
      <c r="AL28" s="24"/>
      <c r="AM28" s="24"/>
      <c r="AN28" s="29">
        <v>0.85</v>
      </c>
      <c r="AO28" s="38"/>
      <c r="AP28" s="13">
        <v>2</v>
      </c>
      <c r="AQ28" s="17">
        <v>500</v>
      </c>
      <c r="AR28" s="17">
        <v>1000</v>
      </c>
      <c r="AS28" s="18">
        <v>16.5</v>
      </c>
      <c r="AT28" s="18">
        <v>30.1</v>
      </c>
      <c r="AU28" s="18">
        <f>IF(AND(AU24&gt;AQ28,AU24&lt;=AR28),(AT28-AS28)/(AR28-AQ28)*(AU24-AQ28)+AS28,0)</f>
        <v>0</v>
      </c>
      <c r="AV28" s="19">
        <f>IF(AND(AV24&gt;AQ28,AV24&lt;=AR28),(AT28-AS28)/(AR28-AQ28)*(AV24-AQ28)+AS28,0)</f>
        <v>0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69">
        <v>5</v>
      </c>
      <c r="BM28" s="83">
        <v>100000</v>
      </c>
      <c r="BN28" s="83">
        <v>500000</v>
      </c>
      <c r="BO28" s="84">
        <v>15</v>
      </c>
      <c r="BP28" s="84">
        <v>17</v>
      </c>
      <c r="BQ28" s="82" t="e">
        <f>IF(AND(BQ21&gt;BM28,BQ21&lt;=BN28),(BP28-BO28)/(BN28-BM28)*(BQ21-BM28)+BO28,0)</f>
        <v>#REF!</v>
      </c>
      <c r="BR28" s="38"/>
      <c r="BS28" s="79"/>
      <c r="BT28" s="17">
        <v>5000</v>
      </c>
      <c r="BU28" s="63">
        <v>0.00345</v>
      </c>
      <c r="BV28" s="18" t="e">
        <f>IF((BW26-BT28)&gt;0,(BT28-BT27)*BU28,IF((BW26-BT27)*BU28&gt;0,(BW26-BT27)*BU28,0))</f>
        <v>#REF!</v>
      </c>
      <c r="BW28" s="99"/>
      <c r="BX28" s="79"/>
      <c r="BY28" s="17">
        <v>5000</v>
      </c>
      <c r="BZ28" s="63">
        <v>0.00345</v>
      </c>
      <c r="CA28" s="18" t="e">
        <f>IF((CB26-BY28)&gt;0,(BY28-BY27)*BZ28,IF((CB26-BY27)*BZ28&gt;0,(CB26-BY27)*BZ28,0))</f>
        <v>#REF!</v>
      </c>
      <c r="CB28" s="99"/>
      <c r="CC28" s="79"/>
      <c r="CD28" s="17">
        <v>5000</v>
      </c>
      <c r="CE28" s="63">
        <v>0.00345</v>
      </c>
      <c r="CF28" s="18" t="e">
        <f>IF((CG26-CD28)&gt;0,(CD28-CD27)*CE28,IF((CG26-CD27)*CE28&gt;0,(CG26-CD27)*CE28,0))</f>
        <v>#REF!</v>
      </c>
      <c r="CG28" s="99"/>
      <c r="CH28" s="38"/>
      <c r="CI28" s="38"/>
      <c r="CJ28" s="13">
        <v>5</v>
      </c>
      <c r="CK28" s="20">
        <v>500000</v>
      </c>
      <c r="CL28" s="17">
        <v>1000000</v>
      </c>
      <c r="CM28" s="21">
        <v>75</v>
      </c>
      <c r="CN28" s="21">
        <v>110</v>
      </c>
      <c r="CO28" s="18">
        <f>IF(AND(CO21&gt;CK28,CO21&lt;=CL28),(CN28-CM28)/(CL28-CK28)*(CO21-CK28)+CM28,0)</f>
        <v>0</v>
      </c>
      <c r="CP28" s="19">
        <f>IF(AND(CP21&gt;CK28,CP21&lt;=CL28),(CN28-CM28)/(CL28-CK28)*(CP21-CK28)+CM28,0)</f>
        <v>0</v>
      </c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106" t="s">
        <v>150</v>
      </c>
      <c r="DG28" s="77" t="s">
        <v>151</v>
      </c>
      <c r="DH28" s="77"/>
      <c r="DI28" s="77" t="s">
        <v>152</v>
      </c>
      <c r="DJ28" s="96"/>
    </row>
    <row r="29" spans="1:114">
      <c r="A29" s="13"/>
      <c r="B29" s="17"/>
      <c r="C29" s="27" t="s">
        <v>149</v>
      </c>
      <c r="D29" s="24"/>
      <c r="E29" s="24"/>
      <c r="F29" s="28">
        <v>0.85</v>
      </c>
      <c r="G29" s="29">
        <v>1</v>
      </c>
      <c r="H29" s="13"/>
      <c r="I29" s="17"/>
      <c r="J29" s="27" t="s">
        <v>149</v>
      </c>
      <c r="K29" s="24"/>
      <c r="L29" s="24"/>
      <c r="M29" s="28">
        <v>1.15</v>
      </c>
      <c r="N29" s="29">
        <v>1.15</v>
      </c>
      <c r="O29" s="13"/>
      <c r="P29" s="17"/>
      <c r="Q29" s="27" t="s">
        <v>149</v>
      </c>
      <c r="R29" s="24"/>
      <c r="S29" s="24"/>
      <c r="T29" s="28">
        <v>1</v>
      </c>
      <c r="U29" s="29">
        <v>1</v>
      </c>
      <c r="V29" s="38"/>
      <c r="W29" s="13"/>
      <c r="X29" s="17"/>
      <c r="Y29" s="27" t="s">
        <v>153</v>
      </c>
      <c r="Z29" s="24"/>
      <c r="AA29" s="24"/>
      <c r="AB29" s="29">
        <v>0.7</v>
      </c>
      <c r="AC29" s="13"/>
      <c r="AD29" s="17"/>
      <c r="AE29" s="27" t="s">
        <v>153</v>
      </c>
      <c r="AF29" s="24"/>
      <c r="AG29" s="24"/>
      <c r="AH29" s="29">
        <v>0.96</v>
      </c>
      <c r="AI29" s="13"/>
      <c r="AJ29" s="17"/>
      <c r="AK29" s="27" t="s">
        <v>153</v>
      </c>
      <c r="AL29" s="24"/>
      <c r="AM29" s="24"/>
      <c r="AN29" s="29">
        <v>0.7</v>
      </c>
      <c r="AO29" s="38"/>
      <c r="AP29" s="13">
        <v>3</v>
      </c>
      <c r="AQ29" s="17">
        <v>1000</v>
      </c>
      <c r="AR29" s="17">
        <v>3000</v>
      </c>
      <c r="AS29" s="18">
        <v>30.1</v>
      </c>
      <c r="AT29" s="18">
        <v>78.1</v>
      </c>
      <c r="AU29" s="18">
        <f>IF(AND(AU24&gt;AQ29,AU24&lt;=AR29),(AT29-AS29)/(AR29-AQ29)*(AU24-AQ29)+AS29,0)</f>
        <v>0</v>
      </c>
      <c r="AV29" s="19">
        <f>IF(AND(AV24&gt;AQ29,AV24&lt;=AR29),(AT29-AS29)/(AR29-AQ29)*(AV24-AQ29)+AS29,0)</f>
        <v>0</v>
      </c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69">
        <v>6</v>
      </c>
      <c r="BM29" s="81">
        <v>500000</v>
      </c>
      <c r="BN29" s="81">
        <v>2000000</v>
      </c>
      <c r="BO29" s="82">
        <v>17</v>
      </c>
      <c r="BP29" s="82">
        <v>20</v>
      </c>
      <c r="BQ29" s="82" t="e">
        <f>IF(AND(BQ21&gt;BM29,BQ21&lt;=BN29),(BP29-BO29)/(BN29-BM29)*(BQ21-BM29)+BO29,0)</f>
        <v>#REF!</v>
      </c>
      <c r="BR29" s="38"/>
      <c r="BS29" s="79"/>
      <c r="BT29" s="17">
        <v>10000</v>
      </c>
      <c r="BU29" s="63">
        <v>0.0029</v>
      </c>
      <c r="BV29" s="18" t="e">
        <f>IF((BW26-BT29)&gt;0,(BT29-BT28)*BU29,IF((BW26-BT28)*BU29&gt;0,(BW26-BT28)*BU29,0))</f>
        <v>#REF!</v>
      </c>
      <c r="BW29" s="99"/>
      <c r="BX29" s="79"/>
      <c r="BY29" s="17">
        <v>10000</v>
      </c>
      <c r="BZ29" s="63">
        <v>0.0029</v>
      </c>
      <c r="CA29" s="18" t="e">
        <f>IF((CB26-BY29)&gt;0,(BY29-BY28)*BZ29,IF((CB26-BY28)*BZ29&gt;0,(CB26-BY28)*BZ29,0))</f>
        <v>#REF!</v>
      </c>
      <c r="CB29" s="99"/>
      <c r="CC29" s="79"/>
      <c r="CD29" s="17">
        <v>10000</v>
      </c>
      <c r="CE29" s="63">
        <v>0.0029</v>
      </c>
      <c r="CF29" s="18" t="e">
        <f>IF((CG26-CD29)&gt;0,(CD29-CD28)*CE29,IF((CG26-CD28)*CE29&gt;0,(CG26-CD28)*CE29,0))</f>
        <v>#REF!</v>
      </c>
      <c r="CG29" s="99"/>
      <c r="CH29" s="38"/>
      <c r="CI29" s="38"/>
      <c r="CJ29" s="13">
        <v>6</v>
      </c>
      <c r="CK29" s="17">
        <v>1000000</v>
      </c>
      <c r="CL29" s="15" t="s">
        <v>154</v>
      </c>
      <c r="CM29" s="18">
        <v>110</v>
      </c>
      <c r="CN29" s="18">
        <v>110</v>
      </c>
      <c r="CO29" s="18">
        <v>0</v>
      </c>
      <c r="CP29" s="19">
        <f>IF(AND(CP21&gt;CK29,CP21&lt;=CL29),(CN29-CM29)/(CL29-CK29)*(CP21-CK29)+CM29,0)</f>
        <v>0</v>
      </c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1"/>
      <c r="DG29" s="32" t="s">
        <v>151</v>
      </c>
      <c r="DH29" s="32"/>
      <c r="DI29" s="144"/>
      <c r="DJ29" s="154">
        <f>DI29*1%</f>
        <v>0</v>
      </c>
    </row>
    <row r="30" spans="1:114">
      <c r="A30" s="13"/>
      <c r="B30" s="17"/>
      <c r="C30" s="27" t="s">
        <v>153</v>
      </c>
      <c r="D30" s="24"/>
      <c r="E30" s="24"/>
      <c r="F30" s="28">
        <v>0.85</v>
      </c>
      <c r="G30" s="29">
        <v>1.2</v>
      </c>
      <c r="H30" s="13"/>
      <c r="I30" s="17"/>
      <c r="J30" s="27" t="s">
        <v>153</v>
      </c>
      <c r="K30" s="24"/>
      <c r="L30" s="24"/>
      <c r="M30" s="28">
        <v>1.3</v>
      </c>
      <c r="N30" s="29">
        <v>1</v>
      </c>
      <c r="O30" s="13"/>
      <c r="P30" s="17"/>
      <c r="Q30" s="27" t="s">
        <v>153</v>
      </c>
      <c r="R30" s="24"/>
      <c r="S30" s="24"/>
      <c r="T30" s="28">
        <v>1</v>
      </c>
      <c r="U30" s="29">
        <v>1</v>
      </c>
      <c r="V30" s="38"/>
      <c r="W30" s="31"/>
      <c r="X30" s="32"/>
      <c r="Y30" s="33" t="s">
        <v>155</v>
      </c>
      <c r="Z30" s="34"/>
      <c r="AA30" s="34"/>
      <c r="AB30" s="46">
        <v>1</v>
      </c>
      <c r="AC30" s="31"/>
      <c r="AD30" s="32"/>
      <c r="AE30" s="33" t="s">
        <v>155</v>
      </c>
      <c r="AF30" s="34"/>
      <c r="AG30" s="34"/>
      <c r="AH30" s="46">
        <v>1</v>
      </c>
      <c r="AI30" s="31"/>
      <c r="AJ30" s="32"/>
      <c r="AK30" s="33" t="s">
        <v>155</v>
      </c>
      <c r="AL30" s="34"/>
      <c r="AM30" s="34"/>
      <c r="AN30" s="46">
        <v>1</v>
      </c>
      <c r="AO30" s="38"/>
      <c r="AP30" s="13">
        <v>4</v>
      </c>
      <c r="AQ30" s="17">
        <v>3000</v>
      </c>
      <c r="AR30" s="17">
        <v>5000</v>
      </c>
      <c r="AS30" s="18">
        <v>78.1</v>
      </c>
      <c r="AT30" s="18">
        <v>120.8</v>
      </c>
      <c r="AU30" s="18">
        <f>IF(AND(AU24&gt;AQ30,AU24&lt;=AR30),(AT30-AS30)/(AR30-AQ30)*(AU24-AQ30)+AS30,0)</f>
        <v>0</v>
      </c>
      <c r="AV30" s="19">
        <f>IF(AND(AV24&gt;AQ30,AV24&lt;=AR30),(AT30-AS30)/(AR30-AQ30)*(AV24-AQ30)+AS30,0)</f>
        <v>0</v>
      </c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71"/>
      <c r="BM30" s="86"/>
      <c r="BN30" s="86"/>
      <c r="BO30" s="86"/>
      <c r="BP30" s="87"/>
      <c r="BQ30" s="82"/>
      <c r="BR30" s="38"/>
      <c r="BS30" s="53" t="s">
        <v>113</v>
      </c>
      <c r="BT30" s="17">
        <v>50000</v>
      </c>
      <c r="BU30" s="63">
        <v>0.0024</v>
      </c>
      <c r="BV30" s="18" t="e">
        <f>IF((BW26-BT30)&gt;0,(BW26-BT29)*BU30,0)</f>
        <v>#REF!</v>
      </c>
      <c r="BW30" s="99"/>
      <c r="BX30" s="53" t="s">
        <v>113</v>
      </c>
      <c r="BY30" s="17">
        <v>10000</v>
      </c>
      <c r="BZ30" s="63">
        <v>0.0024</v>
      </c>
      <c r="CA30" s="18" t="e">
        <f>IF((CB26-BY30)&gt;0,(CB26-BY29)*BZ30,0)</f>
        <v>#REF!</v>
      </c>
      <c r="CB30" s="99"/>
      <c r="CC30" s="53" t="s">
        <v>113</v>
      </c>
      <c r="CD30" s="17">
        <v>10000</v>
      </c>
      <c r="CE30" s="63">
        <v>0.0024</v>
      </c>
      <c r="CF30" s="18" t="e">
        <f>IF((CG26-CD30)&gt;0,(CG26-CD29)*CE30,0)</f>
        <v>#REF!</v>
      </c>
      <c r="CG30" s="99"/>
      <c r="CH30" s="38"/>
      <c r="CI30" s="38"/>
      <c r="CJ30" s="13"/>
      <c r="CK30" s="17"/>
      <c r="CL30" s="17"/>
      <c r="CM30" s="18"/>
      <c r="CN30" s="18"/>
      <c r="CO30" s="18"/>
      <c r="CP30" s="19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7"/>
      <c r="DG30" s="38"/>
      <c r="DH30" s="38"/>
      <c r="DI30" s="38"/>
      <c r="DJ30" s="38"/>
    </row>
    <row r="31" spans="1:114">
      <c r="A31" s="13"/>
      <c r="B31" s="17"/>
      <c r="C31" s="30" t="s">
        <v>155</v>
      </c>
      <c r="D31" s="24"/>
      <c r="E31" s="24"/>
      <c r="F31" s="28">
        <v>1</v>
      </c>
      <c r="G31" s="29">
        <v>1</v>
      </c>
      <c r="H31" s="13"/>
      <c r="I31" s="17"/>
      <c r="J31" s="30" t="s">
        <v>155</v>
      </c>
      <c r="K31" s="24"/>
      <c r="L31" s="24"/>
      <c r="M31" s="28">
        <v>1</v>
      </c>
      <c r="N31" s="29">
        <v>1</v>
      </c>
      <c r="O31" s="13"/>
      <c r="P31" s="17"/>
      <c r="Q31" s="30" t="s">
        <v>155</v>
      </c>
      <c r="R31" s="24"/>
      <c r="S31" s="24"/>
      <c r="T31" s="28">
        <v>1</v>
      </c>
      <c r="U31" s="29">
        <v>1</v>
      </c>
      <c r="V31" s="38"/>
      <c r="W31" s="37"/>
      <c r="X31" s="38"/>
      <c r="Y31" s="38"/>
      <c r="Z31" s="38"/>
      <c r="AA31" s="38"/>
      <c r="AB31" s="38"/>
      <c r="AC31" s="37"/>
      <c r="AD31" s="38"/>
      <c r="AE31" s="38"/>
      <c r="AF31" s="38"/>
      <c r="AG31" s="38"/>
      <c r="AH31" s="38"/>
      <c r="AI31" s="37"/>
      <c r="AJ31" s="38"/>
      <c r="AK31" s="38"/>
      <c r="AL31" s="38"/>
      <c r="AM31" s="38"/>
      <c r="AN31" s="38"/>
      <c r="AO31" s="38"/>
      <c r="AP31" s="13">
        <v>5</v>
      </c>
      <c r="AQ31" s="20">
        <v>5000</v>
      </c>
      <c r="AR31" s="20">
        <v>8000</v>
      </c>
      <c r="AS31" s="21">
        <v>120.8</v>
      </c>
      <c r="AT31" s="21">
        <v>181</v>
      </c>
      <c r="AU31" s="18">
        <f>IF(AND(AU24&gt;AQ31,AU24&lt;=AR31),(AT31-AS31)/(AR31-AQ31)*(AU24-AQ31)+AS31,0)</f>
        <v>0</v>
      </c>
      <c r="AV31" s="19">
        <f>IF(AND(AV24&gt;AQ31,AV24&lt;=AR31),(AT31-AS31)/(AR31-AQ31)*(AV24-AQ31)+AS31,0)</f>
        <v>0</v>
      </c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73" t="s">
        <v>136</v>
      </c>
      <c r="BM31" s="88"/>
      <c r="BN31" s="88"/>
      <c r="BO31" s="89"/>
      <c r="BP31" s="82"/>
      <c r="BQ31" s="82" t="e">
        <f>SUM(BQ24:BQ29)</f>
        <v>#REF!</v>
      </c>
      <c r="BR31" s="38"/>
      <c r="BS31" s="85"/>
      <c r="BT31" s="32" t="s">
        <v>119</v>
      </c>
      <c r="BU31" s="32"/>
      <c r="BV31" s="101" t="e">
        <f>SUM(BV26:BV30)</f>
        <v>#REF!</v>
      </c>
      <c r="BW31" s="102" t="e">
        <f>BV31</f>
        <v>#REF!</v>
      </c>
      <c r="BX31" s="85"/>
      <c r="BY31" s="32" t="s">
        <v>119</v>
      </c>
      <c r="BZ31" s="32"/>
      <c r="CA31" s="101" t="e">
        <f>SUM(CA26:CA30)</f>
        <v>#REF!</v>
      </c>
      <c r="CB31" s="102" t="e">
        <f>CA31</f>
        <v>#REF!</v>
      </c>
      <c r="CC31" s="85"/>
      <c r="CD31" s="32" t="s">
        <v>119</v>
      </c>
      <c r="CE31" s="32"/>
      <c r="CF31" s="101" t="e">
        <f>SUM(CF26:CF30)</f>
        <v>#REF!</v>
      </c>
      <c r="CG31" s="102" t="e">
        <f>CF31</f>
        <v>#REF!</v>
      </c>
      <c r="CH31" s="38"/>
      <c r="CI31" s="38"/>
      <c r="CJ31" s="13"/>
      <c r="CK31" s="17"/>
      <c r="CL31" s="23" t="s">
        <v>92</v>
      </c>
      <c r="CM31" s="24"/>
      <c r="CN31" s="24"/>
      <c r="CO31" s="25">
        <f>SUM(CO24:CO29)</f>
        <v>0</v>
      </c>
      <c r="CP31" s="26">
        <f>SUM(CP24:CP29)</f>
        <v>0</v>
      </c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7" t="s">
        <v>156</v>
      </c>
      <c r="DG31" s="38" t="s">
        <v>157</v>
      </c>
      <c r="DH31" s="38" t="s">
        <v>158</v>
      </c>
      <c r="DI31" s="38"/>
      <c r="DJ31" s="38"/>
    </row>
    <row r="32" spans="1:114">
      <c r="A32" s="31"/>
      <c r="B32" s="32"/>
      <c r="C32" s="33" t="s">
        <v>159</v>
      </c>
      <c r="D32" s="34"/>
      <c r="E32" s="34"/>
      <c r="F32" s="35">
        <v>0</v>
      </c>
      <c r="G32" s="36">
        <v>0</v>
      </c>
      <c r="H32" s="31"/>
      <c r="I32" s="32"/>
      <c r="J32" s="33" t="s">
        <v>159</v>
      </c>
      <c r="K32" s="34"/>
      <c r="L32" s="34"/>
      <c r="M32" s="35">
        <v>0</v>
      </c>
      <c r="N32" s="36">
        <v>0</v>
      </c>
      <c r="O32" s="31"/>
      <c r="P32" s="32"/>
      <c r="Q32" s="33" t="s">
        <v>159</v>
      </c>
      <c r="R32" s="34"/>
      <c r="S32" s="34"/>
      <c r="T32" s="35">
        <v>0</v>
      </c>
      <c r="U32" s="36">
        <v>0</v>
      </c>
      <c r="V32" s="38"/>
      <c r="W32" s="37"/>
      <c r="X32" s="38"/>
      <c r="Y32" s="38"/>
      <c r="Z32" s="38"/>
      <c r="AA32" s="38"/>
      <c r="AB32" s="38"/>
      <c r="AC32" s="37"/>
      <c r="AD32" s="38"/>
      <c r="AE32" s="38"/>
      <c r="AF32" s="38"/>
      <c r="AG32" s="38"/>
      <c r="AH32" s="38"/>
      <c r="AI32" s="37"/>
      <c r="AJ32" s="38"/>
      <c r="AK32" s="38"/>
      <c r="AL32" s="38"/>
      <c r="AM32" s="38"/>
      <c r="AN32" s="38"/>
      <c r="AO32" s="38"/>
      <c r="AP32" s="13">
        <v>6</v>
      </c>
      <c r="AQ32" s="17">
        <v>8000</v>
      </c>
      <c r="AR32" s="17">
        <v>10000</v>
      </c>
      <c r="AS32" s="18">
        <v>181</v>
      </c>
      <c r="AT32" s="18">
        <v>218.6</v>
      </c>
      <c r="AU32" s="18">
        <f>IF(AND(AU24&gt;AQ32,AU24&lt;=AR32),(AT32-AS32)/(AR32-AQ32)*(AU24-AQ32)+AS32,0)</f>
        <v>0</v>
      </c>
      <c r="AV32" s="19">
        <f>IF(AND(AV24&gt;AQ32,AV24&lt;=AR32),(AT32-AS32)/(AR32-AQ32)*(AV24-AQ32)+AS32,0)</f>
        <v>0</v>
      </c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73" t="s">
        <v>125</v>
      </c>
      <c r="BM32" s="88"/>
      <c r="BN32" s="88"/>
      <c r="BO32" s="89"/>
      <c r="BP32" s="82">
        <v>0.8</v>
      </c>
      <c r="BQ32" s="82" t="e">
        <f>BQ31*(BP32-1)</f>
        <v>#REF!</v>
      </c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13"/>
      <c r="CK32" s="17"/>
      <c r="CL32" s="27" t="s">
        <v>125</v>
      </c>
      <c r="CM32" s="24"/>
      <c r="CN32" s="24"/>
      <c r="CO32" s="28">
        <v>1.1</v>
      </c>
      <c r="CP32" s="28">
        <v>0.8</v>
      </c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7">
        <v>1</v>
      </c>
      <c r="DG32" s="38" t="s">
        <v>160</v>
      </c>
      <c r="DH32" s="38"/>
      <c r="DI32" s="38"/>
      <c r="DJ32" s="38"/>
    </row>
    <row r="33" ht="36" spans="1:114">
      <c r="A33" s="37"/>
      <c r="B33" s="38"/>
      <c r="C33" s="38"/>
      <c r="D33" s="38"/>
      <c r="E33" s="38"/>
      <c r="F33" s="38"/>
      <c r="G33" s="38"/>
      <c r="H33" s="37"/>
      <c r="I33" s="38"/>
      <c r="J33" s="38"/>
      <c r="K33" s="38"/>
      <c r="L33" s="38"/>
      <c r="M33" s="38"/>
      <c r="N33" s="38"/>
      <c r="O33" s="37"/>
      <c r="P33" s="38"/>
      <c r="Q33" s="38"/>
      <c r="R33" s="38"/>
      <c r="S33" s="38"/>
      <c r="T33" s="38"/>
      <c r="U33" s="38"/>
      <c r="V33" s="38"/>
      <c r="W33" s="37"/>
      <c r="X33" s="38"/>
      <c r="Y33" s="38"/>
      <c r="Z33" s="38"/>
      <c r="AA33" s="38"/>
      <c r="AB33" s="38"/>
      <c r="AC33" s="37"/>
      <c r="AD33" s="38"/>
      <c r="AE33" s="38"/>
      <c r="AF33" s="38"/>
      <c r="AG33" s="38"/>
      <c r="AH33" s="38"/>
      <c r="AI33" s="37"/>
      <c r="AJ33" s="38"/>
      <c r="AK33" s="38"/>
      <c r="AL33" s="38"/>
      <c r="AM33" s="38"/>
      <c r="AN33" s="38"/>
      <c r="AO33" s="38"/>
      <c r="AP33" s="13">
        <v>7</v>
      </c>
      <c r="AQ33" s="17">
        <v>10000</v>
      </c>
      <c r="AR33" s="17">
        <v>20000</v>
      </c>
      <c r="AS33" s="18">
        <v>218.6</v>
      </c>
      <c r="AT33" s="18">
        <v>393.4</v>
      </c>
      <c r="AU33" s="18">
        <f>IF(AND(AU24&gt;AQ33,AU24&lt;=AR33),(AT33-AS33)/(AR33-AQ33)*(AU24-AQ33)+AS33,0)</f>
        <v>0</v>
      </c>
      <c r="AV33" s="19">
        <f>IF(AND(AV24&gt;AQ33,AV24&lt;=AR33),(AT33-AS33)/(AR33-AQ33)*(AV24-AQ33)+AS33,0)</f>
        <v>0</v>
      </c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73" t="s">
        <v>127</v>
      </c>
      <c r="BM33" s="88"/>
      <c r="BN33" s="88"/>
      <c r="BO33" s="89"/>
      <c r="BP33" s="82">
        <v>1.2</v>
      </c>
      <c r="BQ33" s="82" t="e">
        <f>(BQ31+BQ32)*(BP33-1)</f>
        <v>#REF!</v>
      </c>
      <c r="BR33" s="38"/>
      <c r="BS33" s="47" t="s">
        <v>161</v>
      </c>
      <c r="BT33" s="1"/>
      <c r="BU33" s="1"/>
      <c r="BV33" s="1"/>
      <c r="BW33" s="93"/>
      <c r="BX33" s="47" t="s">
        <v>162</v>
      </c>
      <c r="BY33" s="1"/>
      <c r="BZ33" s="1"/>
      <c r="CA33" s="1"/>
      <c r="CB33" s="1"/>
      <c r="CC33" s="47" t="s">
        <v>162</v>
      </c>
      <c r="CD33" s="1"/>
      <c r="CE33" s="1"/>
      <c r="CF33" s="1"/>
      <c r="CG33" s="1"/>
      <c r="CH33" s="38"/>
      <c r="CI33" s="38"/>
      <c r="CJ33" s="13"/>
      <c r="CK33" s="17"/>
      <c r="CL33" s="27" t="s">
        <v>163</v>
      </c>
      <c r="CM33" s="24"/>
      <c r="CN33" s="24"/>
      <c r="CO33" s="28">
        <v>1.2</v>
      </c>
      <c r="CP33" s="28">
        <v>1</v>
      </c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106" t="s">
        <v>2</v>
      </c>
      <c r="DG33" s="122" t="s">
        <v>164</v>
      </c>
      <c r="DH33" s="122" t="s">
        <v>165</v>
      </c>
      <c r="DI33" s="122" t="s">
        <v>118</v>
      </c>
      <c r="DJ33" s="132" t="s">
        <v>166</v>
      </c>
    </row>
    <row r="34" spans="1:114">
      <c r="A34" s="37"/>
      <c r="B34" s="38"/>
      <c r="C34" s="38"/>
      <c r="D34" s="38"/>
      <c r="E34" s="38"/>
      <c r="F34" s="38"/>
      <c r="G34" s="38"/>
      <c r="H34" s="37"/>
      <c r="I34" s="38"/>
      <c r="J34" s="38"/>
      <c r="K34" s="38"/>
      <c r="L34" s="38"/>
      <c r="M34" s="38"/>
      <c r="N34" s="38"/>
      <c r="O34" s="37"/>
      <c r="P34" s="38"/>
      <c r="Q34" s="38"/>
      <c r="R34" s="38"/>
      <c r="S34" s="38"/>
      <c r="T34" s="38"/>
      <c r="U34" s="38"/>
      <c r="V34" s="38"/>
      <c r="W34" s="37"/>
      <c r="X34" s="38"/>
      <c r="Y34" s="38"/>
      <c r="Z34" s="38"/>
      <c r="AA34" s="38"/>
      <c r="AB34" s="38"/>
      <c r="AC34" s="37"/>
      <c r="AD34" s="38"/>
      <c r="AE34" s="38"/>
      <c r="AF34" s="38"/>
      <c r="AG34" s="38"/>
      <c r="AH34" s="38"/>
      <c r="AI34" s="37"/>
      <c r="AJ34" s="38"/>
      <c r="AK34" s="38"/>
      <c r="AL34" s="38"/>
      <c r="AM34" s="38"/>
      <c r="AN34" s="38"/>
      <c r="AO34" s="38"/>
      <c r="AP34" s="13">
        <v>8</v>
      </c>
      <c r="AQ34" s="17">
        <v>20000</v>
      </c>
      <c r="AR34" s="17">
        <v>40000</v>
      </c>
      <c r="AS34" s="18">
        <v>393.4</v>
      </c>
      <c r="AT34" s="18">
        <v>708.2</v>
      </c>
      <c r="AU34" s="18">
        <f>IF(AND(AU24&gt;AQ34,AU24&lt;=AR34),(AT34-AS34)/(AR34-AQ34)*(AU24-AQ34)+AS34,0)</f>
        <v>0</v>
      </c>
      <c r="AV34" s="19">
        <f>IF(AND(AV24&gt;AQ34,AV24&lt;=AR34),(AT34-AS34)/(AR34-AQ34)*(AV24-AQ34)+AS34,0)</f>
        <v>0</v>
      </c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71"/>
      <c r="BM34" s="86"/>
      <c r="BN34" s="86"/>
      <c r="BO34" s="86"/>
      <c r="BP34" s="87"/>
      <c r="BQ34" s="82"/>
      <c r="BR34" s="38"/>
      <c r="BS34" s="65" t="s">
        <v>167</v>
      </c>
      <c r="BT34" s="65"/>
      <c r="BU34" s="65"/>
      <c r="BV34" s="65"/>
      <c r="BW34" s="65"/>
      <c r="BX34" s="65" t="s">
        <v>126</v>
      </c>
      <c r="BY34" s="65"/>
      <c r="BZ34" s="65"/>
      <c r="CA34" s="65"/>
      <c r="CB34" s="65"/>
      <c r="CC34" s="65" t="s">
        <v>126</v>
      </c>
      <c r="CD34" s="65"/>
      <c r="CE34" s="65"/>
      <c r="CF34" s="65"/>
      <c r="CG34" s="65"/>
      <c r="CH34" s="38"/>
      <c r="CI34" s="38"/>
      <c r="CJ34" s="13"/>
      <c r="CK34" s="17"/>
      <c r="CL34" s="27" t="s">
        <v>168</v>
      </c>
      <c r="CM34" s="24"/>
      <c r="CN34" s="24"/>
      <c r="CO34" s="28">
        <v>1</v>
      </c>
      <c r="CP34" s="28">
        <v>0.85</v>
      </c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127" t="s">
        <v>169</v>
      </c>
      <c r="DG34" s="128" t="s">
        <v>170</v>
      </c>
      <c r="DH34" s="17"/>
      <c r="DI34" s="17"/>
      <c r="DJ34" s="19">
        <v>4</v>
      </c>
    </row>
    <row r="35" spans="1:114">
      <c r="A35" s="37" t="s">
        <v>11</v>
      </c>
      <c r="B35" s="38"/>
      <c r="C35" s="39">
        <f>元吉小区!F5</f>
        <v>0</v>
      </c>
      <c r="D35" s="38"/>
      <c r="E35" s="38"/>
      <c r="F35" s="38"/>
      <c r="G35" s="38"/>
      <c r="H35" s="37"/>
      <c r="I35" s="38"/>
      <c r="J35" s="38"/>
      <c r="K35" s="38"/>
      <c r="L35" s="38"/>
      <c r="M35" s="38"/>
      <c r="N35" s="38"/>
      <c r="O35" s="37"/>
      <c r="P35" s="38"/>
      <c r="Q35" s="38"/>
      <c r="R35" s="38"/>
      <c r="S35" s="38"/>
      <c r="T35" s="38"/>
      <c r="U35" s="38"/>
      <c r="V35" s="38"/>
      <c r="W35" s="37"/>
      <c r="X35" s="38"/>
      <c r="Y35" s="38"/>
      <c r="Z35" s="38"/>
      <c r="AA35" s="38"/>
      <c r="AB35" s="38"/>
      <c r="AC35" s="37"/>
      <c r="AD35" s="38"/>
      <c r="AE35" s="38"/>
      <c r="AF35" s="38"/>
      <c r="AG35" s="38"/>
      <c r="AH35" s="38"/>
      <c r="AI35" s="37"/>
      <c r="AJ35" s="38"/>
      <c r="AK35" s="38"/>
      <c r="AL35" s="38"/>
      <c r="AM35" s="38"/>
      <c r="AN35" s="38"/>
      <c r="AO35" s="38"/>
      <c r="AP35" s="13">
        <v>9</v>
      </c>
      <c r="AQ35" s="17">
        <v>40000</v>
      </c>
      <c r="AR35" s="17">
        <v>60000</v>
      </c>
      <c r="AS35" s="18">
        <v>708.2</v>
      </c>
      <c r="AT35" s="18">
        <v>991.4</v>
      </c>
      <c r="AU35" s="18">
        <f>IF(AND(AU24&gt;AQ35,AU24&lt;=AR35),(AT35-AS35)/(AR35-AQ35)*(AU24-AQ35)+AS35,0)</f>
        <v>0</v>
      </c>
      <c r="AV35" s="19">
        <f>IF(AND(AV24&gt;AQ35,AV24&lt;=AR35),(AT35-AS35)/(AR35-AQ35)*(AV24-AQ35)+AS35,0)</f>
        <v>0</v>
      </c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67" t="s">
        <v>171</v>
      </c>
      <c r="BM35" s="67"/>
      <c r="BN35" s="67"/>
      <c r="BO35" s="67"/>
      <c r="BP35" s="67"/>
      <c r="BQ35" s="90" t="e">
        <f>SUM(BQ31:BQ33)</f>
        <v>#REF!</v>
      </c>
      <c r="BR35" s="38"/>
      <c r="BS35" s="76"/>
      <c r="BT35" s="77" t="s">
        <v>66</v>
      </c>
      <c r="BU35" s="77" t="s">
        <v>67</v>
      </c>
      <c r="BV35" s="77" t="s">
        <v>68</v>
      </c>
      <c r="BW35" s="96" t="s">
        <v>172</v>
      </c>
      <c r="BX35" s="76"/>
      <c r="BY35" s="77" t="s">
        <v>66</v>
      </c>
      <c r="BZ35" s="77" t="s">
        <v>67</v>
      </c>
      <c r="CA35" s="77" t="s">
        <v>68</v>
      </c>
      <c r="CB35" s="96" t="s">
        <v>145</v>
      </c>
      <c r="CC35" s="76"/>
      <c r="CD35" s="77" t="s">
        <v>66</v>
      </c>
      <c r="CE35" s="77" t="s">
        <v>67</v>
      </c>
      <c r="CF35" s="77" t="s">
        <v>68</v>
      </c>
      <c r="CG35" s="96" t="s">
        <v>145</v>
      </c>
      <c r="CH35" s="38"/>
      <c r="CI35" s="38"/>
      <c r="CJ35" s="13"/>
      <c r="CK35" s="17"/>
      <c r="CL35" s="30" t="s">
        <v>173</v>
      </c>
      <c r="CM35" s="24"/>
      <c r="CN35" s="24"/>
      <c r="CO35" s="28">
        <v>1</v>
      </c>
      <c r="CP35" s="28">
        <v>1</v>
      </c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127" t="s">
        <v>174</v>
      </c>
      <c r="DG35" s="17">
        <v>3000</v>
      </c>
      <c r="DH35" s="17">
        <v>6</v>
      </c>
      <c r="DI35" s="140">
        <v>6500</v>
      </c>
      <c r="DJ35" s="156">
        <f>DH35+(DI35-DG35)*(DH36-DH35)/(DG36-DG35)</f>
        <v>10</v>
      </c>
    </row>
    <row r="36" spans="1:114">
      <c r="A36" s="37" t="s">
        <v>175</v>
      </c>
      <c r="B36" s="38"/>
      <c r="C36" s="39" t="e">
        <f>C37-[4]祥云新城!#REF!</f>
        <v>#REF!</v>
      </c>
      <c r="D36" s="38"/>
      <c r="E36" s="38"/>
      <c r="F36" s="38"/>
      <c r="G36" s="38"/>
      <c r="H36" s="37"/>
      <c r="I36" s="38"/>
      <c r="J36" s="38"/>
      <c r="K36" s="38"/>
      <c r="L36" s="38"/>
      <c r="M36" s="38"/>
      <c r="N36" s="38"/>
      <c r="O36" s="37"/>
      <c r="P36" s="38"/>
      <c r="Q36" s="38"/>
      <c r="R36" s="38"/>
      <c r="S36" s="38"/>
      <c r="T36" s="38"/>
      <c r="U36" s="38"/>
      <c r="V36" s="38"/>
      <c r="W36" s="37"/>
      <c r="X36" s="38"/>
      <c r="Y36" s="38"/>
      <c r="Z36" s="38"/>
      <c r="AA36" s="38"/>
      <c r="AB36" s="38"/>
      <c r="AC36" s="37"/>
      <c r="AD36" s="38"/>
      <c r="AE36" s="38"/>
      <c r="AF36" s="38"/>
      <c r="AG36" s="38"/>
      <c r="AH36" s="38"/>
      <c r="AI36" s="37"/>
      <c r="AJ36" s="38"/>
      <c r="AK36" s="38"/>
      <c r="AL36" s="38"/>
      <c r="AM36" s="38"/>
      <c r="AN36" s="38"/>
      <c r="AO36" s="38"/>
      <c r="AP36" s="13">
        <v>10</v>
      </c>
      <c r="AQ36" s="17">
        <v>60000</v>
      </c>
      <c r="AR36" s="17">
        <v>80000</v>
      </c>
      <c r="AS36" s="18">
        <v>991.4</v>
      </c>
      <c r="AT36" s="18">
        <v>1255.8</v>
      </c>
      <c r="AU36" s="18">
        <f>IF(AND(AU24&gt;AQ36,AU24&lt;=AR36),(AT36-AS36)/(AR36-AQ36)*(AU24-AQ36)+AS36,0)</f>
        <v>0</v>
      </c>
      <c r="AV36" s="19">
        <f>IF(AND(AV24&gt;AQ36,AV24&lt;=AR36),(AT36-AS36)/(AR36-AQ36)*(AV24-AQ36)+AS36,0)</f>
        <v>0</v>
      </c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79"/>
      <c r="BT36" s="17">
        <v>1000</v>
      </c>
      <c r="BU36" s="22">
        <v>0.0068</v>
      </c>
      <c r="BV36" s="18" t="e">
        <f>IF((BW36-BT36)&gt;0,BT36*BU36,BW36*BU36)</f>
        <v>#REF!</v>
      </c>
      <c r="BW36" s="98" t="e">
        <f>C37</f>
        <v>#REF!</v>
      </c>
      <c r="BX36" s="79"/>
      <c r="BY36" s="17">
        <v>100</v>
      </c>
      <c r="BZ36" s="22">
        <v>0.011</v>
      </c>
      <c r="CA36" s="18" t="e">
        <f>IF((CB36-BY36)&gt;0,BY36*BZ36,CB36*BZ36)</f>
        <v>#REF!</v>
      </c>
      <c r="CB36" s="98" t="e">
        <f>BW36</f>
        <v>#REF!</v>
      </c>
      <c r="CC36" s="79"/>
      <c r="CD36" s="17">
        <v>100</v>
      </c>
      <c r="CE36" s="22">
        <v>0.011</v>
      </c>
      <c r="CF36" s="18" t="e">
        <f>IF((CG36-CD36)&gt;0,CD36*CE36,CG36*CE36)</f>
        <v>#REF!</v>
      </c>
      <c r="CG36" s="98" t="e">
        <f>CB36</f>
        <v>#REF!</v>
      </c>
      <c r="CH36" s="38"/>
      <c r="CI36" s="38"/>
      <c r="CJ36" s="31"/>
      <c r="CK36" s="32"/>
      <c r="CL36" s="33" t="s">
        <v>159</v>
      </c>
      <c r="CM36" s="34"/>
      <c r="CN36" s="34"/>
      <c r="CO36" s="35">
        <v>0</v>
      </c>
      <c r="CP36" s="36">
        <v>0</v>
      </c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127" t="s">
        <v>176</v>
      </c>
      <c r="DG36" s="17">
        <v>10000</v>
      </c>
      <c r="DH36" s="17">
        <v>14</v>
      </c>
      <c r="DI36" s="140">
        <v>10000</v>
      </c>
      <c r="DJ36" s="156">
        <f>DH36+(DI36-DG36)*(DH37-DH36)/(DG37-DG36)</f>
        <v>14</v>
      </c>
    </row>
    <row r="37" spans="1:114">
      <c r="A37" s="37" t="s">
        <v>177</v>
      </c>
      <c r="B37" s="38"/>
      <c r="C37" s="39" t="e">
        <f>元吉小区!#REF!</f>
        <v>#REF!</v>
      </c>
      <c r="D37" s="38"/>
      <c r="E37" s="40"/>
      <c r="F37" s="38"/>
      <c r="G37" s="38"/>
      <c r="H37" s="37"/>
      <c r="I37" s="38"/>
      <c r="J37" s="38"/>
      <c r="K37" s="38"/>
      <c r="L37" s="38"/>
      <c r="M37" s="38"/>
      <c r="N37" s="38"/>
      <c r="O37" s="37"/>
      <c r="P37" s="38"/>
      <c r="Q37" s="38"/>
      <c r="R37" s="38"/>
      <c r="S37" s="38"/>
      <c r="T37" s="38"/>
      <c r="U37" s="38"/>
      <c r="V37" s="38"/>
      <c r="W37" s="37"/>
      <c r="X37" s="38"/>
      <c r="Y37" s="38"/>
      <c r="Z37" s="38"/>
      <c r="AA37" s="38"/>
      <c r="AB37" s="38"/>
      <c r="AC37" s="37"/>
      <c r="AD37" s="38"/>
      <c r="AE37" s="38"/>
      <c r="AF37" s="38"/>
      <c r="AG37" s="38"/>
      <c r="AH37" s="38"/>
      <c r="AI37" s="37"/>
      <c r="AJ37" s="38"/>
      <c r="AK37" s="38"/>
      <c r="AL37" s="38"/>
      <c r="AM37" s="38"/>
      <c r="AN37" s="38"/>
      <c r="AO37" s="38"/>
      <c r="AP37" s="13">
        <v>11</v>
      </c>
      <c r="AQ37" s="17">
        <v>80000</v>
      </c>
      <c r="AR37" s="17">
        <v>100000</v>
      </c>
      <c r="AS37" s="18">
        <v>1255.8</v>
      </c>
      <c r="AT37" s="18">
        <v>1507</v>
      </c>
      <c r="AU37" s="18">
        <f>IF(AND(AU24&gt;AQ37,AU24&lt;=AR37),(AT37-AS37)/(AR37-AQ37)*(AU24-AQ37)+AS37,0)</f>
        <v>0</v>
      </c>
      <c r="AV37" s="19">
        <f>IF(AND(AV24&gt;AQ37,AV24&lt;=AR37),(AT37-AS37)/(AR37-AQ37)*(AV24-AQ37)+AS37,0)</f>
        <v>0</v>
      </c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47" t="s">
        <v>178</v>
      </c>
      <c r="BM37" s="1"/>
      <c r="BN37" s="1"/>
      <c r="BO37" s="1"/>
      <c r="BP37" s="1"/>
      <c r="BQ37" s="1"/>
      <c r="BR37" s="38"/>
      <c r="BS37" s="79"/>
      <c r="BT37" s="17">
        <v>5000</v>
      </c>
      <c r="BU37" s="22">
        <v>0.006</v>
      </c>
      <c r="BV37" s="18" t="e">
        <f>IF((BW36-BT37)&gt;0,(BT37-BT36)*BU37,IF((BW36-BT36)*BU37&gt;0,(BW36-BT36)*BU37,0))</f>
        <v>#REF!</v>
      </c>
      <c r="BW37" s="99"/>
      <c r="BX37" s="79"/>
      <c r="BY37" s="17">
        <v>500</v>
      </c>
      <c r="BZ37" s="22">
        <v>0.01</v>
      </c>
      <c r="CA37" s="18" t="e">
        <f>IF((CB36-BY37)&gt;0,(BY37-BY36)*BZ37,IF((CB36-BY36)*BZ37&gt;0,(CB36-BY36)*BZ37,0))</f>
        <v>#REF!</v>
      </c>
      <c r="CB37" s="99"/>
      <c r="CC37" s="79"/>
      <c r="CD37" s="17">
        <v>500</v>
      </c>
      <c r="CE37" s="22">
        <v>0.01</v>
      </c>
      <c r="CF37" s="18" t="e">
        <f>IF((CG36-CD37)&gt;0,(CD37-CD36)*CE37,IF((CG36-CD36)*CE37&gt;0,(CG36-CD36)*CE37,0))</f>
        <v>#REF!</v>
      </c>
      <c r="CG37" s="99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127" t="s">
        <v>179</v>
      </c>
      <c r="DG37" s="17">
        <v>50000</v>
      </c>
      <c r="DH37" s="17">
        <v>37</v>
      </c>
      <c r="DI37" s="140">
        <v>50000</v>
      </c>
      <c r="DJ37" s="156">
        <f>DH37+(DI37-DG37)*(DH38-DH37)/(DG38-DG37)</f>
        <v>37</v>
      </c>
    </row>
    <row r="38" spans="1:114">
      <c r="A38" s="37" t="s">
        <v>180</v>
      </c>
      <c r="B38" s="38"/>
      <c r="C38" s="39"/>
      <c r="D38" s="38"/>
      <c r="E38" s="38"/>
      <c r="F38" s="38"/>
      <c r="G38" s="38"/>
      <c r="H38" s="37"/>
      <c r="I38" s="38"/>
      <c r="J38" s="38"/>
      <c r="K38" s="38"/>
      <c r="L38" s="38"/>
      <c r="M38" s="38"/>
      <c r="N38" s="38"/>
      <c r="O38" s="37"/>
      <c r="P38" s="38"/>
      <c r="Q38" s="38"/>
      <c r="R38" s="38"/>
      <c r="S38" s="38"/>
      <c r="T38" s="38"/>
      <c r="U38" s="38"/>
      <c r="V38" s="38"/>
      <c r="W38" s="37"/>
      <c r="X38" s="38"/>
      <c r="Y38" s="38"/>
      <c r="Z38" s="38"/>
      <c r="AA38" s="38"/>
      <c r="AB38" s="38"/>
      <c r="AC38" s="37"/>
      <c r="AD38" s="38"/>
      <c r="AE38" s="38"/>
      <c r="AF38" s="38"/>
      <c r="AG38" s="38"/>
      <c r="AH38" s="38"/>
      <c r="AI38" s="37"/>
      <c r="AJ38" s="38"/>
      <c r="AK38" s="38"/>
      <c r="AL38" s="38"/>
      <c r="AM38" s="38"/>
      <c r="AN38" s="38"/>
      <c r="AO38" s="38"/>
      <c r="AP38" s="13">
        <v>12</v>
      </c>
      <c r="AQ38" s="17">
        <v>100000</v>
      </c>
      <c r="AR38" s="17">
        <v>200000</v>
      </c>
      <c r="AS38" s="18">
        <v>1507</v>
      </c>
      <c r="AT38" s="18">
        <v>2712.5</v>
      </c>
      <c r="AU38" s="18">
        <f>IF(AND(AU24&gt;AQ38,AU24&lt;=AR38),(AT38-AS38)/(AR38-AQ38)*(AU24-AQ38)+AS38,0)</f>
        <v>0</v>
      </c>
      <c r="AV38" s="19">
        <f>IF(AND(AV24&gt;AQ38,AV24&lt;=AR38),(AT38-AS38)/(AR38-AQ38)*(AV24-AQ38)+AS38,0)</f>
        <v>0</v>
      </c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65" t="s">
        <v>50</v>
      </c>
      <c r="BM38" s="65"/>
      <c r="BN38" s="65"/>
      <c r="BO38" s="65"/>
      <c r="BP38" s="65"/>
      <c r="BQ38" s="65"/>
      <c r="BR38" s="38"/>
      <c r="BS38" s="79"/>
      <c r="BT38" s="17">
        <v>10000</v>
      </c>
      <c r="BU38" s="22">
        <v>0.0056</v>
      </c>
      <c r="BV38" s="18" t="e">
        <f>IF((BW36-BT38)&gt;0,(BT38-BT37)*BU38,IF((BW36-BT37)*BU38&gt;0,(BW36-BT37)*BU38,0))</f>
        <v>#REF!</v>
      </c>
      <c r="BW38" s="99"/>
      <c r="BX38" s="79"/>
      <c r="BY38" s="17">
        <v>1000</v>
      </c>
      <c r="BZ38" s="22">
        <v>0.0085</v>
      </c>
      <c r="CA38" s="18" t="e">
        <f>IF((CB36-BY38)&gt;0,(BY38-BY37)*BZ38,IF((CB36-BY37)*BZ38&gt;0,(CB36-BY37)*BZ38,0))</f>
        <v>#REF!</v>
      </c>
      <c r="CB38" s="99"/>
      <c r="CC38" s="79"/>
      <c r="CD38" s="17">
        <v>1000</v>
      </c>
      <c r="CE38" s="22">
        <v>0.0085</v>
      </c>
      <c r="CF38" s="18" t="e">
        <f>IF((CG36-CD38)&gt;0,(CD38-CD37)*CE38,IF((CG36-CD37)*CE38&gt;0,(CG36-CD37)*CE38,0))</f>
        <v>#REF!</v>
      </c>
      <c r="CG38" s="99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127" t="s">
        <v>181</v>
      </c>
      <c r="DG38" s="17">
        <v>100000</v>
      </c>
      <c r="DH38" s="17">
        <v>55</v>
      </c>
      <c r="DI38" s="140">
        <v>400000</v>
      </c>
      <c r="DJ38" s="156">
        <f>DH38+(DI38-DG38)*(DH39-DH38)/(DG39-DG38)</f>
        <v>88.75</v>
      </c>
    </row>
    <row r="39" spans="1:114">
      <c r="A39" s="37"/>
      <c r="B39" s="38"/>
      <c r="C39" s="38"/>
      <c r="D39" s="38"/>
      <c r="E39" s="38"/>
      <c r="F39" s="38"/>
      <c r="G39" s="38"/>
      <c r="H39" s="37"/>
      <c r="I39" s="38"/>
      <c r="J39" s="38"/>
      <c r="K39" s="38"/>
      <c r="L39" s="38"/>
      <c r="M39" s="38"/>
      <c r="N39" s="38"/>
      <c r="O39" s="37"/>
      <c r="P39" s="38"/>
      <c r="Q39" s="38"/>
      <c r="R39" s="38"/>
      <c r="S39" s="38"/>
      <c r="T39" s="38"/>
      <c r="U39" s="38"/>
      <c r="V39" s="38"/>
      <c r="W39" s="37"/>
      <c r="X39" s="38"/>
      <c r="Y39" s="38"/>
      <c r="Z39" s="38"/>
      <c r="AA39" s="38"/>
      <c r="AB39" s="38"/>
      <c r="AC39" s="37"/>
      <c r="AD39" s="38"/>
      <c r="AE39" s="38"/>
      <c r="AF39" s="38"/>
      <c r="AG39" s="38"/>
      <c r="AH39" s="38"/>
      <c r="AI39" s="37"/>
      <c r="AJ39" s="38"/>
      <c r="AK39" s="38"/>
      <c r="AL39" s="38"/>
      <c r="AM39" s="38"/>
      <c r="AN39" s="38"/>
      <c r="AO39" s="38"/>
      <c r="AP39" s="13">
        <v>13</v>
      </c>
      <c r="AQ39" s="17">
        <v>200000</v>
      </c>
      <c r="AR39" s="17">
        <v>400000</v>
      </c>
      <c r="AS39" s="18">
        <v>2712.5</v>
      </c>
      <c r="AT39" s="18">
        <v>4882.6</v>
      </c>
      <c r="AU39" s="18">
        <f>IF(AND(AU24&gt;AQ39,AU24&lt;=AR39),(AT39-AS39)/(AR39-AQ39)*(AU24-AQ39)+AS39,0)</f>
        <v>0</v>
      </c>
      <c r="AV39" s="19">
        <f>IF(AND(AV24&gt;AQ39,AV24&lt;=AR39),(AT39-AS39)/(AR39-AQ39)*(AV24-AQ39)+AS39,0)</f>
        <v>0</v>
      </c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67" t="s">
        <v>65</v>
      </c>
      <c r="BM39" s="67"/>
      <c r="BN39" s="67"/>
      <c r="BO39" s="67"/>
      <c r="BP39" s="67"/>
      <c r="BQ39" s="75" t="e">
        <f>BQ3</f>
        <v>#REF!</v>
      </c>
      <c r="BR39" s="38"/>
      <c r="BS39" s="79"/>
      <c r="BT39" s="17">
        <v>50000</v>
      </c>
      <c r="BU39" s="22">
        <v>0.0052</v>
      </c>
      <c r="BV39" s="18" t="e">
        <f>IF((BW36-BT39)&gt;0,(BT39-BT38)*BU39,IF((BW36-BT38)*BU39&gt;0,(BW36-BT38)*BU39,0))</f>
        <v>#REF!</v>
      </c>
      <c r="BW39" s="99"/>
      <c r="BX39" s="79"/>
      <c r="BY39" s="17">
        <v>3000</v>
      </c>
      <c r="BZ39" s="22">
        <v>0.008</v>
      </c>
      <c r="CA39" s="18" t="e">
        <f>IF((CB36-BY39)&gt;0,(BY39-BY38)*BZ39,IF((CB36-BY38)*BZ39&gt;0,(CB36-BY38)*BZ39,0))</f>
        <v>#REF!</v>
      </c>
      <c r="CB39" s="99"/>
      <c r="CC39" s="79"/>
      <c r="CD39" s="17">
        <v>3000</v>
      </c>
      <c r="CE39" s="22">
        <v>0.008</v>
      </c>
      <c r="CF39" s="18" t="e">
        <f>IF((CG36-CD39)&gt;0,(CD39-CD38)*CE39,IF((CG36-CD38)*CE39&gt;0,(CG36-CD38)*CE39,0))</f>
        <v>#REF!</v>
      </c>
      <c r="CG39" s="99"/>
      <c r="CH39" s="38"/>
      <c r="CI39" s="38"/>
      <c r="CJ39" s="37" t="s">
        <v>182</v>
      </c>
      <c r="CK39" s="37"/>
      <c r="CL39" s="37"/>
      <c r="CM39" s="37"/>
      <c r="CN39" s="37"/>
      <c r="CO39" s="37"/>
      <c r="CP39" s="37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127" t="s">
        <v>183</v>
      </c>
      <c r="DG39" s="17">
        <v>500000</v>
      </c>
      <c r="DH39" s="17">
        <v>100</v>
      </c>
      <c r="DI39" s="140">
        <v>500000</v>
      </c>
      <c r="DJ39" s="19">
        <v>100</v>
      </c>
    </row>
    <row r="40" spans="1:114">
      <c r="A40" s="37"/>
      <c r="B40" s="38"/>
      <c r="C40" s="38"/>
      <c r="D40" s="38"/>
      <c r="E40" s="38"/>
      <c r="F40" s="38"/>
      <c r="G40" s="38"/>
      <c r="H40" s="37"/>
      <c r="I40" s="38"/>
      <c r="J40" s="38"/>
      <c r="K40" s="38"/>
      <c r="L40" s="38"/>
      <c r="M40" s="38"/>
      <c r="N40" s="38"/>
      <c r="O40" s="37"/>
      <c r="P40" s="38"/>
      <c r="Q40" s="38"/>
      <c r="R40" s="38"/>
      <c r="S40" s="38"/>
      <c r="T40" s="38"/>
      <c r="U40" s="38"/>
      <c r="V40" s="38"/>
      <c r="W40" s="37"/>
      <c r="X40" s="38"/>
      <c r="Y40" s="38"/>
      <c r="Z40" s="38"/>
      <c r="AA40" s="38"/>
      <c r="AB40" s="38"/>
      <c r="AC40" s="37"/>
      <c r="AD40" s="38"/>
      <c r="AE40" s="38"/>
      <c r="AF40" s="38"/>
      <c r="AG40" s="38"/>
      <c r="AH40" s="38"/>
      <c r="AI40" s="37"/>
      <c r="AJ40" s="38"/>
      <c r="AK40" s="38"/>
      <c r="AL40" s="38"/>
      <c r="AM40" s="38"/>
      <c r="AN40" s="38"/>
      <c r="AO40" s="38"/>
      <c r="AP40" s="13">
        <v>14</v>
      </c>
      <c r="AQ40" s="17">
        <v>400000</v>
      </c>
      <c r="AR40" s="17">
        <v>600000</v>
      </c>
      <c r="AS40" s="18">
        <v>4882.6</v>
      </c>
      <c r="AT40" s="18">
        <v>6835.6</v>
      </c>
      <c r="AU40" s="18">
        <f>IF(AND(AU24&gt;AQ40,AU24&lt;=AR40),(AT40-AS40)/(AR40-AQ40)*(AU24-AQ40)+AS40,0)</f>
        <v>0</v>
      </c>
      <c r="AV40" s="19">
        <f>IF(AND(AV24&gt;AQ40,AV24&lt;=AR40),(AT40-AS40)/(AR40-AQ40)*(AV24-AQ40)+AS40,0)</f>
        <v>0</v>
      </c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69" t="s">
        <v>2</v>
      </c>
      <c r="BM40" s="69" t="s">
        <v>84</v>
      </c>
      <c r="BN40" s="69"/>
      <c r="BO40" s="69" t="s">
        <v>184</v>
      </c>
      <c r="BP40" s="69"/>
      <c r="BQ40" s="78" t="s">
        <v>185</v>
      </c>
      <c r="BR40" s="38"/>
      <c r="BS40" s="79"/>
      <c r="BT40" s="17">
        <v>100000</v>
      </c>
      <c r="BU40" s="103">
        <v>0.0042</v>
      </c>
      <c r="BV40" s="18" t="e">
        <f>IF((BW36-BT40)&gt;0,(BT40-BT39)*BU40,IF((BW36-BT39)*BU40&gt;0,(BW36-BT39)*BU40,0))</f>
        <v>#REF!</v>
      </c>
      <c r="BW40" s="99"/>
      <c r="BX40" s="79"/>
      <c r="BY40" s="17">
        <v>5000</v>
      </c>
      <c r="BZ40" s="103">
        <v>0.0075</v>
      </c>
      <c r="CA40" s="18" t="e">
        <f>IF((CB36-BY40)&gt;0,(BY40-BY39)*BZ40,IF((CB36-BY39)*BZ40&gt;0,(CB36-BY39)*BZ40,0))</f>
        <v>#REF!</v>
      </c>
      <c r="CB40" s="99"/>
      <c r="CC40" s="79"/>
      <c r="CD40" s="17">
        <v>5000</v>
      </c>
      <c r="CE40" s="103">
        <v>0.0075</v>
      </c>
      <c r="CF40" s="18" t="e">
        <f>IF((CG36-CD40)&gt;0,(CD40-CD39)*CE40,IF((CG36-CD39)*CE40&gt;0,(CG36-CD39)*CE40,0))</f>
        <v>#REF!</v>
      </c>
      <c r="CG40" s="99"/>
      <c r="CH40" s="38"/>
      <c r="CI40" s="38"/>
      <c r="CJ40" s="114" t="s">
        <v>134</v>
      </c>
      <c r="CK40" s="114"/>
      <c r="CL40" s="114"/>
      <c r="CM40" s="114"/>
      <c r="CN40" s="114"/>
      <c r="CO40" s="114"/>
      <c r="CP40" s="114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129" t="s">
        <v>186</v>
      </c>
      <c r="DG40" s="130" t="s">
        <v>187</v>
      </c>
      <c r="DH40" s="32">
        <v>125</v>
      </c>
      <c r="DI40" s="32"/>
      <c r="DJ40" s="157" t="s">
        <v>188</v>
      </c>
    </row>
    <row r="41" spans="1:114">
      <c r="A41" s="37"/>
      <c r="B41" s="38"/>
      <c r="C41" s="38"/>
      <c r="D41" s="38"/>
      <c r="E41" s="38"/>
      <c r="F41" s="38"/>
      <c r="G41" s="38"/>
      <c r="H41" s="37"/>
      <c r="I41" s="38"/>
      <c r="J41" s="38"/>
      <c r="K41" s="38"/>
      <c r="L41" s="38"/>
      <c r="M41" s="38"/>
      <c r="N41" s="38"/>
      <c r="O41" s="37"/>
      <c r="P41" s="38"/>
      <c r="Q41" s="38"/>
      <c r="R41" s="38"/>
      <c r="S41" s="38"/>
      <c r="T41" s="38"/>
      <c r="U41" s="38"/>
      <c r="V41" s="38"/>
      <c r="W41" s="37"/>
      <c r="X41" s="38"/>
      <c r="Y41" s="38"/>
      <c r="Z41" s="38"/>
      <c r="AA41" s="38"/>
      <c r="AB41" s="38"/>
      <c r="AC41" s="37"/>
      <c r="AD41" s="38"/>
      <c r="AE41" s="38"/>
      <c r="AF41" s="38"/>
      <c r="AG41" s="38"/>
      <c r="AH41" s="38"/>
      <c r="AI41" s="37"/>
      <c r="AJ41" s="38"/>
      <c r="AK41" s="38"/>
      <c r="AL41" s="38"/>
      <c r="AM41" s="38"/>
      <c r="AN41" s="38"/>
      <c r="AO41" s="38"/>
      <c r="AP41" s="13">
        <v>15</v>
      </c>
      <c r="AQ41" s="17">
        <v>600000</v>
      </c>
      <c r="AR41" s="17">
        <v>800000</v>
      </c>
      <c r="AS41" s="18">
        <v>6835.6</v>
      </c>
      <c r="AT41" s="18">
        <v>8658.4</v>
      </c>
      <c r="AU41" s="18">
        <f>IF(AND(AU24&gt;AQ41,AU24&lt;=AR41),(AT41-AS41)/(AR41-AQ41)*(AU24-AQ41)+AS41,0)</f>
        <v>0</v>
      </c>
      <c r="AV41" s="19">
        <f>IF(AND(AV24&gt;AQ41,AV24&lt;=AR41),(AT41-AS41)/(AR41-AQ41)*(AV24-AQ41)+AS41,0)</f>
        <v>0</v>
      </c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69"/>
      <c r="BM41" s="69" t="s">
        <v>95</v>
      </c>
      <c r="BN41" s="69"/>
      <c r="BO41" s="69" t="s">
        <v>96</v>
      </c>
      <c r="BP41" s="69"/>
      <c r="BQ41" s="69"/>
      <c r="BR41" s="38"/>
      <c r="BS41" s="79"/>
      <c r="BT41" s="17">
        <v>200000</v>
      </c>
      <c r="BU41" s="103">
        <v>0.0018</v>
      </c>
      <c r="BV41" s="18" t="e">
        <f>IF((BW36-BT41)&gt;0,(BT41-BT40)*BU41,IF((BW36-BT40)*BU41&gt;0,(BW36-BT40)*BU41,0))</f>
        <v>#REF!</v>
      </c>
      <c r="BW41" s="99"/>
      <c r="BX41" s="79"/>
      <c r="BY41" s="17">
        <v>10000</v>
      </c>
      <c r="BZ41" s="103">
        <v>0.007</v>
      </c>
      <c r="CA41" s="18" t="e">
        <f>IF((CB36-BY41)&gt;0,(BY41-BY40)*BZ41,IF((CB36-BY40)*BZ41&gt;0,(CB36-BY40)*BZ41,0))</f>
        <v>#REF!</v>
      </c>
      <c r="CB41" s="99"/>
      <c r="CC41" s="79"/>
      <c r="CD41" s="17">
        <v>10000</v>
      </c>
      <c r="CE41" s="103">
        <v>0.007</v>
      </c>
      <c r="CF41" s="18" t="e">
        <f>IF((CG36-CD41)&gt;0,(CD41-CD40)*CE41,IF((CG36-CD40)*CE41&gt;0,(CG36-CD40)*CE41,0))</f>
        <v>#REF!</v>
      </c>
      <c r="CG41" s="99"/>
      <c r="CH41" s="38"/>
      <c r="CI41" s="38"/>
      <c r="CJ41" s="58" t="s">
        <v>57</v>
      </c>
      <c r="CK41" s="59"/>
      <c r="CL41" s="59"/>
      <c r="CM41" s="59"/>
      <c r="CN41" s="60"/>
      <c r="CO41" s="61">
        <f>CO21</f>
        <v>0</v>
      </c>
      <c r="CP41" s="62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7"/>
      <c r="DG41" s="38"/>
      <c r="DH41" s="38"/>
      <c r="DI41" s="38"/>
      <c r="DJ41" s="38"/>
    </row>
    <row r="42" spans="1:114">
      <c r="A42" s="37"/>
      <c r="B42" s="38"/>
      <c r="C42" s="38"/>
      <c r="D42" s="38"/>
      <c r="E42" s="38"/>
      <c r="F42" s="38"/>
      <c r="G42" s="38"/>
      <c r="H42" s="37"/>
      <c r="I42" s="38"/>
      <c r="J42" s="38"/>
      <c r="K42" s="38"/>
      <c r="L42" s="38"/>
      <c r="M42" s="38"/>
      <c r="N42" s="38"/>
      <c r="O42" s="37"/>
      <c r="P42" s="38"/>
      <c r="Q42" s="38"/>
      <c r="R42" s="38"/>
      <c r="S42" s="38"/>
      <c r="T42" s="38"/>
      <c r="U42" s="38"/>
      <c r="V42" s="38"/>
      <c r="W42" s="37"/>
      <c r="X42" s="38"/>
      <c r="Y42" s="38"/>
      <c r="Z42" s="38"/>
      <c r="AA42" s="38"/>
      <c r="AB42" s="38"/>
      <c r="AC42" s="37"/>
      <c r="AD42" s="38"/>
      <c r="AE42" s="38"/>
      <c r="AF42" s="38"/>
      <c r="AG42" s="38"/>
      <c r="AH42" s="38"/>
      <c r="AI42" s="37"/>
      <c r="AJ42" s="38"/>
      <c r="AK42" s="38"/>
      <c r="AL42" s="38"/>
      <c r="AM42" s="38"/>
      <c r="AN42" s="38"/>
      <c r="AO42" s="38"/>
      <c r="AP42" s="13">
        <v>16</v>
      </c>
      <c r="AQ42" s="17">
        <v>800000</v>
      </c>
      <c r="AR42" s="17">
        <v>1000000</v>
      </c>
      <c r="AS42" s="18">
        <v>8658.4</v>
      </c>
      <c r="AT42" s="18">
        <v>10390.1</v>
      </c>
      <c r="AU42" s="18">
        <f>IF(AND(AU24&gt;AQ42,AU24&lt;=AR42),(AT42-AS42)/(AR42-AQ42)*(AU24-AQ42)+AS42,0)</f>
        <v>0</v>
      </c>
      <c r="AV42" s="19">
        <f>IF(AND(AV24&gt;AQ42,AV24&lt;=AR42),(AT42-AS42)/(AR42-AQ42)*(AV24-AQ42)+AS42,0)</f>
        <v>0</v>
      </c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69">
        <v>1</v>
      </c>
      <c r="BM42" s="81">
        <v>0</v>
      </c>
      <c r="BN42" s="81">
        <v>3000</v>
      </c>
      <c r="BO42" s="82">
        <v>0</v>
      </c>
      <c r="BP42" s="82">
        <v>12</v>
      </c>
      <c r="BQ42" s="82" t="e">
        <f>IF(AND(BQ39&gt;BM42,BQ39&lt;=BN42),(BP42-BO42)/(BN42-BM42)*(BQ39-BM42)+BO42,0)</f>
        <v>#REF!</v>
      </c>
      <c r="BR42" s="38"/>
      <c r="BS42" s="53" t="s">
        <v>113</v>
      </c>
      <c r="BT42" s="17">
        <v>200000</v>
      </c>
      <c r="BU42" s="103">
        <v>0.001</v>
      </c>
      <c r="BV42" s="18" t="e">
        <f>IF((BW36-BT42)&gt;0,(BW36-BT41)*BU42,0)</f>
        <v>#REF!</v>
      </c>
      <c r="BW42" s="99"/>
      <c r="BX42" s="53" t="s">
        <v>113</v>
      </c>
      <c r="BY42" s="17">
        <v>10000</v>
      </c>
      <c r="BZ42" s="103">
        <v>0.0065</v>
      </c>
      <c r="CA42" s="18" t="e">
        <f>IF((CB36-BY42)&gt;0,(CB36-BY41)*BZ42,0)</f>
        <v>#REF!</v>
      </c>
      <c r="CB42" s="99"/>
      <c r="CC42" s="53" t="s">
        <v>113</v>
      </c>
      <c r="CD42" s="17">
        <v>10000</v>
      </c>
      <c r="CE42" s="103">
        <v>0.0065</v>
      </c>
      <c r="CF42" s="18" t="e">
        <f>IF((CG36-CD42)&gt;0,(CG36-CD41)*CE42,0)</f>
        <v>#REF!</v>
      </c>
      <c r="CG42" s="99"/>
      <c r="CH42" s="38"/>
      <c r="CI42" s="38"/>
      <c r="CJ42" s="7" t="s">
        <v>137</v>
      </c>
      <c r="CK42" s="8"/>
      <c r="CL42" s="8"/>
      <c r="CM42" s="8"/>
      <c r="CN42" s="8"/>
      <c r="CO42" s="11">
        <f>CO51*CO52*CO53*CO54*CO55*(1-CO56)</f>
        <v>0</v>
      </c>
      <c r="CP42" s="12">
        <f>CP51*CP52*CP53*CP54*CP55*(1-CP56)</f>
        <v>0</v>
      </c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7">
        <v>2</v>
      </c>
      <c r="DG42" s="38" t="s">
        <v>189</v>
      </c>
      <c r="DH42" s="38"/>
      <c r="DI42" s="38"/>
      <c r="DJ42" s="38"/>
    </row>
    <row r="43" ht="36" spans="1:114">
      <c r="A43" s="37"/>
      <c r="B43" s="38"/>
      <c r="C43" s="38"/>
      <c r="D43" s="38"/>
      <c r="E43" s="38"/>
      <c r="F43" s="38"/>
      <c r="G43" s="38"/>
      <c r="H43" s="37"/>
      <c r="I43" s="38"/>
      <c r="J43" s="38"/>
      <c r="K43" s="38"/>
      <c r="L43" s="38"/>
      <c r="M43" s="38"/>
      <c r="N43" s="38"/>
      <c r="O43" s="37"/>
      <c r="P43" s="38"/>
      <c r="Q43" s="38"/>
      <c r="R43" s="38"/>
      <c r="S43" s="38"/>
      <c r="T43" s="38"/>
      <c r="U43" s="38"/>
      <c r="V43" s="38"/>
      <c r="W43" s="37"/>
      <c r="X43" s="38"/>
      <c r="Y43" s="38"/>
      <c r="Z43" s="38"/>
      <c r="AA43" s="38"/>
      <c r="AB43" s="38"/>
      <c r="AC43" s="37"/>
      <c r="AD43" s="38"/>
      <c r="AE43" s="38"/>
      <c r="AF43" s="38"/>
      <c r="AG43" s="38"/>
      <c r="AH43" s="38"/>
      <c r="AI43" s="37"/>
      <c r="AJ43" s="38"/>
      <c r="AK43" s="38"/>
      <c r="AL43" s="38"/>
      <c r="AM43" s="38"/>
      <c r="AN43" s="38"/>
      <c r="AO43" s="38"/>
      <c r="AP43" s="13">
        <v>17</v>
      </c>
      <c r="AQ43" s="17">
        <v>800000</v>
      </c>
      <c r="AR43" s="17">
        <v>1000000</v>
      </c>
      <c r="AS43" s="18">
        <v>15391.4</v>
      </c>
      <c r="AT43" s="18">
        <v>18793.8</v>
      </c>
      <c r="AU43" s="18">
        <f>IF(AND(AU24&gt;AQ43,AU24&lt;=AR43),(AT43-AS43)/(AR43-AQ43)*(AU24-AQ43)+AS43,0)</f>
        <v>0</v>
      </c>
      <c r="AV43" s="19">
        <f>IF(AND(AV24&gt;AQ43,AV24&lt;=AR43),(AT43-AS43)/(AR43-AQ43)*(AV24-AQ43)+AS43,0)</f>
        <v>0</v>
      </c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69">
        <v>2</v>
      </c>
      <c r="BM43" s="81">
        <v>3000</v>
      </c>
      <c r="BN43" s="81">
        <v>10000</v>
      </c>
      <c r="BO43" s="82">
        <v>12</v>
      </c>
      <c r="BP43" s="82">
        <v>28</v>
      </c>
      <c r="BQ43" s="82" t="e">
        <f>IF(AND(BQ39&gt;BM43,BQ39&lt;=BN43),(BP43-BO43)/(BN43-BM43)*(BQ39-BM43)+BO43,0)</f>
        <v>#REF!</v>
      </c>
      <c r="BR43" s="38"/>
      <c r="BS43" s="85"/>
      <c r="BT43" s="32" t="s">
        <v>119</v>
      </c>
      <c r="BU43" s="32"/>
      <c r="BV43" s="101" t="e">
        <f>SUM(BV36:BV42)</f>
        <v>#REF!</v>
      </c>
      <c r="BW43" s="102" t="e">
        <f>BV43</f>
        <v>#REF!</v>
      </c>
      <c r="BX43" s="85"/>
      <c r="BY43" s="32" t="s">
        <v>119</v>
      </c>
      <c r="BZ43" s="32"/>
      <c r="CA43" s="101" t="e">
        <f>SUM(CA36:CA42)</f>
        <v>#REF!</v>
      </c>
      <c r="CB43" s="102" t="e">
        <f>CA43</f>
        <v>#REF!</v>
      </c>
      <c r="CC43" s="85"/>
      <c r="CD43" s="32" t="s">
        <v>119</v>
      </c>
      <c r="CE43" s="32"/>
      <c r="CF43" s="101" t="e">
        <f>SUM(CF36:CF42)</f>
        <v>#REF!</v>
      </c>
      <c r="CG43" s="102" t="e">
        <f>CF43</f>
        <v>#REF!</v>
      </c>
      <c r="CH43" s="38"/>
      <c r="CI43" s="38"/>
      <c r="CJ43" s="13" t="s">
        <v>2</v>
      </c>
      <c r="CK43" s="14" t="s">
        <v>90</v>
      </c>
      <c r="CL43" s="14"/>
      <c r="CM43" s="14" t="s">
        <v>91</v>
      </c>
      <c r="CN43" s="14"/>
      <c r="CO43" s="15" t="s">
        <v>92</v>
      </c>
      <c r="CP43" s="16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106" t="s">
        <v>2</v>
      </c>
      <c r="DG43" s="122" t="s">
        <v>164</v>
      </c>
      <c r="DH43" s="122" t="s">
        <v>165</v>
      </c>
      <c r="DI43" s="122" t="s">
        <v>118</v>
      </c>
      <c r="DJ43" s="132" t="s">
        <v>166</v>
      </c>
    </row>
    <row r="44" spans="1:114">
      <c r="A44" s="37"/>
      <c r="B44" s="38"/>
      <c r="C44" s="38"/>
      <c r="D44" s="38"/>
      <c r="E44" s="38"/>
      <c r="F44" s="38"/>
      <c r="G44" s="38"/>
      <c r="H44" s="37"/>
      <c r="I44" s="38"/>
      <c r="J44" s="38"/>
      <c r="K44" s="38"/>
      <c r="L44" s="38"/>
      <c r="M44" s="38"/>
      <c r="N44" s="38"/>
      <c r="O44" s="37"/>
      <c r="P44" s="38"/>
      <c r="Q44" s="38"/>
      <c r="R44" s="38"/>
      <c r="S44" s="38"/>
      <c r="T44" s="38"/>
      <c r="U44" s="38"/>
      <c r="V44" s="38"/>
      <c r="W44" s="37"/>
      <c r="X44" s="38"/>
      <c r="Y44" s="38"/>
      <c r="Z44" s="38"/>
      <c r="AA44" s="38"/>
      <c r="AB44" s="38"/>
      <c r="AC44" s="37"/>
      <c r="AD44" s="38"/>
      <c r="AE44" s="38"/>
      <c r="AF44" s="38"/>
      <c r="AG44" s="38"/>
      <c r="AH44" s="38"/>
      <c r="AI44" s="37"/>
      <c r="AJ44" s="38"/>
      <c r="AK44" s="38"/>
      <c r="AL44" s="38"/>
      <c r="AM44" s="38"/>
      <c r="AN44" s="38"/>
      <c r="AO44" s="38"/>
      <c r="AP44" s="13">
        <v>18</v>
      </c>
      <c r="AQ44" s="17">
        <v>1000000</v>
      </c>
      <c r="AR44" s="15" t="s">
        <v>154</v>
      </c>
      <c r="AS44" s="18"/>
      <c r="AT44" s="63">
        <v>0.01039</v>
      </c>
      <c r="AU44" s="18">
        <v>0</v>
      </c>
      <c r="AV44" s="19" t="e">
        <f ca="1">AV25*AT44</f>
        <v>#REF!</v>
      </c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69">
        <v>3</v>
      </c>
      <c r="BM44" s="81">
        <v>10000</v>
      </c>
      <c r="BN44" s="81">
        <v>50000</v>
      </c>
      <c r="BO44" s="82">
        <v>28</v>
      </c>
      <c r="BP44" s="82">
        <v>75</v>
      </c>
      <c r="BQ44" s="82" t="e">
        <f>IF(AND(BQ39&gt;BM44,BQ39&lt;=BN44),(BP44-BO44)/(BN44-BM44)*(BQ39-BM44)+BO44,0)</f>
        <v>#REF!</v>
      </c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13">
        <v>1</v>
      </c>
      <c r="CK44" s="17">
        <v>0</v>
      </c>
      <c r="CL44" s="17">
        <f>10000*0.3</f>
        <v>3000</v>
      </c>
      <c r="CM44" s="18">
        <v>1</v>
      </c>
      <c r="CN44" s="18">
        <v>2</v>
      </c>
      <c r="CO44" s="18">
        <f>IF(AND(CO41&gt;CK44,CO41&lt;=CL44),(CN44-CM44)/(CL44-CK44)*(CO41-CK44)+CM44,0)</f>
        <v>0</v>
      </c>
      <c r="CP44" s="19">
        <f>IF(AND(CP41&gt;CK44,CP41&lt;=CL44),(CN44-CM44)/(CL44-CK44)*(CP41-CK44)+CM44,0)</f>
        <v>0</v>
      </c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127" t="s">
        <v>169</v>
      </c>
      <c r="DG44" s="128" t="s">
        <v>170</v>
      </c>
      <c r="DH44" s="17"/>
      <c r="DI44" s="17"/>
      <c r="DJ44" s="99">
        <v>0</v>
      </c>
    </row>
    <row r="45" spans="1:114">
      <c r="A45" s="37"/>
      <c r="B45" s="38"/>
      <c r="C45" s="38"/>
      <c r="D45" s="38"/>
      <c r="E45" s="38"/>
      <c r="F45" s="38"/>
      <c r="G45" s="38"/>
      <c r="H45" s="37"/>
      <c r="I45" s="38"/>
      <c r="J45" s="38"/>
      <c r="K45" s="38"/>
      <c r="L45" s="38"/>
      <c r="M45" s="38"/>
      <c r="N45" s="38"/>
      <c r="O45" s="37"/>
      <c r="P45" s="38"/>
      <c r="Q45" s="38"/>
      <c r="R45" s="38"/>
      <c r="S45" s="38"/>
      <c r="T45" s="38"/>
      <c r="U45" s="38"/>
      <c r="V45" s="38"/>
      <c r="W45" s="37"/>
      <c r="X45" s="38"/>
      <c r="Y45" s="38"/>
      <c r="Z45" s="38"/>
      <c r="AA45" s="38"/>
      <c r="AB45" s="38"/>
      <c r="AC45" s="37"/>
      <c r="AD45" s="38"/>
      <c r="AE45" s="38"/>
      <c r="AF45" s="38"/>
      <c r="AG45" s="38"/>
      <c r="AH45" s="38"/>
      <c r="AI45" s="37"/>
      <c r="AJ45" s="38"/>
      <c r="AK45" s="38"/>
      <c r="AL45" s="38"/>
      <c r="AM45" s="38"/>
      <c r="AN45" s="38"/>
      <c r="AO45" s="38"/>
      <c r="AP45" s="13"/>
      <c r="AQ45" s="17"/>
      <c r="AR45" s="17"/>
      <c r="AS45" s="18"/>
      <c r="AT45" s="18"/>
      <c r="AU45" s="18"/>
      <c r="AV45" s="19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69">
        <v>4</v>
      </c>
      <c r="BM45" s="81">
        <v>50000</v>
      </c>
      <c r="BN45" s="81">
        <v>100000</v>
      </c>
      <c r="BO45" s="82">
        <v>75</v>
      </c>
      <c r="BP45" s="82">
        <v>110</v>
      </c>
      <c r="BQ45" s="82" t="e">
        <f>IF(AND(BQ39&gt;BM45,BQ39&lt;=BN45),(BP45-BO45)/(BN45-BM45)*(BQ39-BM45)+BO45,0)</f>
        <v>#REF!</v>
      </c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13">
        <v>2</v>
      </c>
      <c r="CK45" s="17">
        <f>0.3*10000</f>
        <v>3000</v>
      </c>
      <c r="CL45" s="17">
        <v>20000</v>
      </c>
      <c r="CM45" s="18">
        <v>2</v>
      </c>
      <c r="CN45" s="18">
        <v>4</v>
      </c>
      <c r="CO45" s="18">
        <f>IF(AND(CO41&gt;CK45,CO41&lt;=CL45),(CN45-CM45)/(CL45-CK45)*(CO41-CK45)+CM45,0)</f>
        <v>0</v>
      </c>
      <c r="CP45" s="19">
        <f>IF(AND(CP41&gt;CK45,CP41&lt;=CL45),(CN45-CM45)/(CL45-CK45)*(CP41-CK45)+CM45,0)</f>
        <v>0</v>
      </c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127" t="s">
        <v>174</v>
      </c>
      <c r="DG45" s="17">
        <v>3000</v>
      </c>
      <c r="DH45" s="17">
        <v>4</v>
      </c>
      <c r="DI45" s="140">
        <v>6500</v>
      </c>
      <c r="DJ45" s="156">
        <f>DH45+(DI45-DG45)*(DH46-DH45)/(DG46-DG45)</f>
        <v>6</v>
      </c>
    </row>
    <row r="46" spans="1:114">
      <c r="A46" s="37"/>
      <c r="B46" s="38"/>
      <c r="C46" s="38"/>
      <c r="D46" s="38"/>
      <c r="E46" s="38"/>
      <c r="F46" s="38"/>
      <c r="G46" s="38"/>
      <c r="H46" s="37"/>
      <c r="I46" s="38"/>
      <c r="J46" s="38"/>
      <c r="K46" s="38"/>
      <c r="L46" s="38"/>
      <c r="M46" s="38"/>
      <c r="N46" s="38"/>
      <c r="O46" s="37"/>
      <c r="P46" s="38"/>
      <c r="Q46" s="38"/>
      <c r="R46" s="38"/>
      <c r="S46" s="38"/>
      <c r="T46" s="38"/>
      <c r="U46" s="38"/>
      <c r="V46" s="38"/>
      <c r="W46" s="37"/>
      <c r="X46" s="38"/>
      <c r="Y46" s="38"/>
      <c r="Z46" s="38"/>
      <c r="AA46" s="38"/>
      <c r="AB46" s="38"/>
      <c r="AC46" s="37"/>
      <c r="AD46" s="38"/>
      <c r="AE46" s="38"/>
      <c r="AF46" s="38"/>
      <c r="AG46" s="38"/>
      <c r="AH46" s="38"/>
      <c r="AI46" s="37"/>
      <c r="AJ46" s="38"/>
      <c r="AK46" s="38"/>
      <c r="AL46" s="38"/>
      <c r="AM46" s="38"/>
      <c r="AN46" s="38"/>
      <c r="AO46" s="38"/>
      <c r="AP46" s="13"/>
      <c r="AQ46" s="17"/>
      <c r="AR46" s="23" t="s">
        <v>92</v>
      </c>
      <c r="AS46" s="24"/>
      <c r="AT46" s="24"/>
      <c r="AU46" s="25">
        <f>SUM(AU27:AU44)</f>
        <v>0</v>
      </c>
      <c r="AV46" s="26" t="e">
        <f ca="1">SUM(AV27:AV44)</f>
        <v>#REF!</v>
      </c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69">
        <v>5</v>
      </c>
      <c r="BM46" s="83">
        <v>100000</v>
      </c>
      <c r="BN46" s="83">
        <v>500000</v>
      </c>
      <c r="BO46" s="84">
        <v>110</v>
      </c>
      <c r="BP46" s="84">
        <v>200</v>
      </c>
      <c r="BQ46" s="82" t="e">
        <f>IF(AND(BQ39&gt;BM46,BQ39&lt;=BN46),(BP46-BO46)/(BN46-BM46)*(BQ39-BM46)+BO46,0)</f>
        <v>#REF!</v>
      </c>
      <c r="BR46" s="38"/>
      <c r="BS46" s="38" t="s">
        <v>190</v>
      </c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13">
        <v>3</v>
      </c>
      <c r="CK46" s="17">
        <v>20000</v>
      </c>
      <c r="CL46" s="17">
        <v>100000</v>
      </c>
      <c r="CM46" s="18">
        <v>4</v>
      </c>
      <c r="CN46" s="18">
        <v>7</v>
      </c>
      <c r="CO46" s="18">
        <f>IF(AND(CO41&gt;CK46,CO41&lt;=CL46),(CN46-CM46)/(CL46-CK46)*(CO41-CK46)+CM46,0)</f>
        <v>0</v>
      </c>
      <c r="CP46" s="19">
        <f>IF(AND(CP41&gt;CK46,CP41&lt;=CL46),(CN46-CM46)/(CL46-CK46)*(CP41-CK46)+CM46,0)</f>
        <v>0</v>
      </c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127" t="s">
        <v>176</v>
      </c>
      <c r="DG46" s="17">
        <v>10000</v>
      </c>
      <c r="DH46" s="17">
        <v>8</v>
      </c>
      <c r="DI46" s="140">
        <v>10000</v>
      </c>
      <c r="DJ46" s="156">
        <f>DH46+(DI46-DG46)*(DH47-DH46)/(DG47-DG46)</f>
        <v>8</v>
      </c>
    </row>
    <row r="47" spans="1:114">
      <c r="A47" s="37"/>
      <c r="B47" s="38"/>
      <c r="C47" s="38"/>
      <c r="D47" s="38"/>
      <c r="E47" s="38"/>
      <c r="F47" s="38"/>
      <c r="G47" s="38"/>
      <c r="H47" s="37"/>
      <c r="I47" s="38"/>
      <c r="J47" s="38"/>
      <c r="K47" s="38"/>
      <c r="L47" s="38"/>
      <c r="M47" s="38"/>
      <c r="N47" s="38"/>
      <c r="O47" s="37"/>
      <c r="P47" s="38"/>
      <c r="Q47" s="38"/>
      <c r="R47" s="38"/>
      <c r="S47" s="38"/>
      <c r="T47" s="38"/>
      <c r="U47" s="38"/>
      <c r="V47" s="38"/>
      <c r="W47" s="37"/>
      <c r="X47" s="38"/>
      <c r="Y47" s="38"/>
      <c r="Z47" s="38"/>
      <c r="AA47" s="38"/>
      <c r="AB47" s="38"/>
      <c r="AC47" s="37"/>
      <c r="AD47" s="38"/>
      <c r="AE47" s="38"/>
      <c r="AF47" s="38"/>
      <c r="AG47" s="38"/>
      <c r="AH47" s="38"/>
      <c r="AI47" s="37"/>
      <c r="AJ47" s="38"/>
      <c r="AK47" s="38"/>
      <c r="AL47" s="38"/>
      <c r="AM47" s="38"/>
      <c r="AN47" s="38"/>
      <c r="AO47" s="38"/>
      <c r="AP47" s="13"/>
      <c r="AQ47" s="17"/>
      <c r="AR47" s="27" t="s">
        <v>148</v>
      </c>
      <c r="AS47" s="24"/>
      <c r="AT47" s="24"/>
      <c r="AU47" s="28">
        <v>1</v>
      </c>
      <c r="AV47" s="28">
        <v>0.8</v>
      </c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69">
        <v>6</v>
      </c>
      <c r="BM47" s="81">
        <v>500000</v>
      </c>
      <c r="BN47" s="81">
        <v>2000000</v>
      </c>
      <c r="BO47" s="82">
        <v>200</v>
      </c>
      <c r="BP47" s="82">
        <v>250</v>
      </c>
      <c r="BQ47" s="82" t="e">
        <f>IF(AND(BQ39&gt;BM47,BQ39&lt;=BN47),(BP47-BO47)/(BN47-BM47)*(BQ39-BM47)+BO47,0)</f>
        <v>#REF!</v>
      </c>
      <c r="BR47" s="38"/>
      <c r="BS47" s="91" t="s">
        <v>191</v>
      </c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38"/>
      <c r="CI47" s="38"/>
      <c r="CJ47" s="13">
        <v>4</v>
      </c>
      <c r="CK47" s="17">
        <v>100000</v>
      </c>
      <c r="CL47" s="20">
        <v>500000</v>
      </c>
      <c r="CM47" s="18">
        <v>7</v>
      </c>
      <c r="CN47" s="18">
        <v>7</v>
      </c>
      <c r="CO47" s="18">
        <f>IF(AND(CO41&gt;CK47,CO41&lt;=CL47),(CN47-CM47)/(CL47-CK47)*(CO41-CK47)+CM47,0)</f>
        <v>0</v>
      </c>
      <c r="CP47" s="19">
        <f>IF(AND(CP41&gt;CK47,CP41&lt;=CL47),(CN47-CM47)/(CL47-CK47)*(CP41-CK47)+CM47,0)</f>
        <v>0</v>
      </c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127" t="s">
        <v>179</v>
      </c>
      <c r="DG47" s="17">
        <v>50000</v>
      </c>
      <c r="DH47" s="17">
        <v>12</v>
      </c>
      <c r="DI47" s="140">
        <v>50000</v>
      </c>
      <c r="DJ47" s="156">
        <f>DH47+(DI47-DG47)*(DH48-DH47)/(DG48-DG47)</f>
        <v>12</v>
      </c>
    </row>
    <row r="48" spans="1:114">
      <c r="A48" s="37"/>
      <c r="B48" s="38"/>
      <c r="C48" s="38"/>
      <c r="D48" s="38"/>
      <c r="E48" s="38"/>
      <c r="F48" s="38"/>
      <c r="G48" s="38"/>
      <c r="H48" s="37"/>
      <c r="I48" s="38"/>
      <c r="J48" s="38"/>
      <c r="K48" s="38"/>
      <c r="L48" s="38"/>
      <c r="M48" s="38"/>
      <c r="N48" s="38"/>
      <c r="O48" s="37"/>
      <c r="P48" s="38"/>
      <c r="Q48" s="38"/>
      <c r="R48" s="38"/>
      <c r="S48" s="38"/>
      <c r="T48" s="38"/>
      <c r="U48" s="38"/>
      <c r="V48" s="38"/>
      <c r="W48" s="37"/>
      <c r="X48" s="38"/>
      <c r="Y48" s="38"/>
      <c r="Z48" s="38"/>
      <c r="AA48" s="38"/>
      <c r="AB48" s="38"/>
      <c r="AC48" s="37"/>
      <c r="AD48" s="38"/>
      <c r="AE48" s="38"/>
      <c r="AF48" s="38"/>
      <c r="AG48" s="38"/>
      <c r="AH48" s="38"/>
      <c r="AI48" s="37"/>
      <c r="AJ48" s="38"/>
      <c r="AK48" s="38"/>
      <c r="AL48" s="38"/>
      <c r="AM48" s="38"/>
      <c r="AN48" s="38"/>
      <c r="AO48" s="38"/>
      <c r="AP48" s="13"/>
      <c r="AQ48" s="17"/>
      <c r="AR48" s="27" t="s">
        <v>149</v>
      </c>
      <c r="AS48" s="24"/>
      <c r="AT48" s="24"/>
      <c r="AU48" s="28">
        <v>1</v>
      </c>
      <c r="AV48" s="28">
        <v>1</v>
      </c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71"/>
      <c r="BM48" s="86"/>
      <c r="BN48" s="86"/>
      <c r="BO48" s="86"/>
      <c r="BP48" s="87"/>
      <c r="BQ48" s="82"/>
      <c r="BR48" s="38"/>
      <c r="BS48" s="76"/>
      <c r="BT48" s="92" t="s">
        <v>172</v>
      </c>
      <c r="BU48" s="92" t="s">
        <v>67</v>
      </c>
      <c r="BV48" s="92" t="s">
        <v>68</v>
      </c>
      <c r="BW48" s="104" t="s">
        <v>172</v>
      </c>
      <c r="BX48" s="105"/>
      <c r="BY48" s="92" t="s">
        <v>66</v>
      </c>
      <c r="BZ48" s="92" t="s">
        <v>67</v>
      </c>
      <c r="CA48" s="92" t="s">
        <v>68</v>
      </c>
      <c r="CB48" s="104" t="s">
        <v>172</v>
      </c>
      <c r="CC48" s="105"/>
      <c r="CD48" s="92" t="s">
        <v>66</v>
      </c>
      <c r="CE48" s="92" t="s">
        <v>67</v>
      </c>
      <c r="CF48" s="92" t="s">
        <v>68</v>
      </c>
      <c r="CG48" s="104" t="s">
        <v>172</v>
      </c>
      <c r="CH48" s="38"/>
      <c r="CI48" s="38"/>
      <c r="CJ48" s="13">
        <v>5</v>
      </c>
      <c r="CK48" s="20">
        <v>500000</v>
      </c>
      <c r="CL48" s="17">
        <v>1000000</v>
      </c>
      <c r="CM48" s="18">
        <v>7</v>
      </c>
      <c r="CN48" s="18">
        <v>7</v>
      </c>
      <c r="CO48" s="18">
        <f>IF(AND(CO41&gt;CK48,CO41&lt;=CL48),(CN48-CM48)/(CL48-CK48)*(CO41-CK48)+CM48,0)</f>
        <v>0</v>
      </c>
      <c r="CP48" s="19">
        <f>IF(AND(CP41&gt;CK48,CP41&lt;=CL48),(CN48-CM48)/(CL48-CK48)*(CP41-CK48)+CM48,0)</f>
        <v>0</v>
      </c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127" t="s">
        <v>181</v>
      </c>
      <c r="DG48" s="17">
        <v>100000</v>
      </c>
      <c r="DH48" s="17">
        <v>15</v>
      </c>
      <c r="DI48" s="140">
        <v>400000</v>
      </c>
      <c r="DJ48" s="156">
        <f>DH48+(DI48-DG48)*(DH49-DH48)/(DG49-DG48)</f>
        <v>16.5</v>
      </c>
    </row>
    <row r="49" spans="1:114">
      <c r="A49" s="37"/>
      <c r="B49" s="38"/>
      <c r="C49" s="38"/>
      <c r="D49" s="38"/>
      <c r="E49" s="38"/>
      <c r="F49" s="38"/>
      <c r="G49" s="38"/>
      <c r="H49" s="37"/>
      <c r="I49" s="38"/>
      <c r="J49" s="38"/>
      <c r="K49" s="38"/>
      <c r="L49" s="38"/>
      <c r="M49" s="38"/>
      <c r="N49" s="38"/>
      <c r="O49" s="37"/>
      <c r="P49" s="38"/>
      <c r="Q49" s="38"/>
      <c r="R49" s="38"/>
      <c r="S49" s="38"/>
      <c r="T49" s="38"/>
      <c r="U49" s="38"/>
      <c r="V49" s="38"/>
      <c r="W49" s="37"/>
      <c r="X49" s="38"/>
      <c r="Y49" s="38"/>
      <c r="Z49" s="38"/>
      <c r="AA49" s="38"/>
      <c r="AB49" s="38"/>
      <c r="AC49" s="37"/>
      <c r="AD49" s="38"/>
      <c r="AE49" s="38"/>
      <c r="AF49" s="38"/>
      <c r="AG49" s="38"/>
      <c r="AH49" s="38"/>
      <c r="AI49" s="37"/>
      <c r="AJ49" s="38"/>
      <c r="AK49" s="38"/>
      <c r="AL49" s="38"/>
      <c r="AM49" s="38"/>
      <c r="AN49" s="38"/>
      <c r="AO49" s="38"/>
      <c r="AP49" s="13"/>
      <c r="AQ49" s="17"/>
      <c r="AR49" s="27" t="s">
        <v>192</v>
      </c>
      <c r="AS49" s="24"/>
      <c r="AT49" s="24"/>
      <c r="AU49" s="28">
        <v>1</v>
      </c>
      <c r="AV49" s="28">
        <v>0.85</v>
      </c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73" t="s">
        <v>193</v>
      </c>
      <c r="BM49" s="88"/>
      <c r="BN49" s="88"/>
      <c r="BO49" s="89"/>
      <c r="BP49" s="82"/>
      <c r="BQ49" s="82" t="e">
        <f>SUM(BQ42:BQ47)</f>
        <v>#REF!</v>
      </c>
      <c r="BR49" s="38"/>
      <c r="BS49" s="79"/>
      <c r="BT49" s="17">
        <v>1000</v>
      </c>
      <c r="BU49" s="22">
        <v>0.02</v>
      </c>
      <c r="BV49" s="18" t="e">
        <f>IF((BW49-BT49)&gt;0,BT49*BU49,BW49*BU49)</f>
        <v>#REF!</v>
      </c>
      <c r="BW49" s="98" t="e">
        <f>[4]祥云新城!G39-[4]祥云新城!#REF!</f>
        <v>#REF!</v>
      </c>
      <c r="BX49" s="79"/>
      <c r="BY49" s="17">
        <v>100</v>
      </c>
      <c r="BZ49" s="22">
        <v>0.011</v>
      </c>
      <c r="CA49" s="18" t="e">
        <f>IF((CB49-BY49)&gt;0,BY49*BZ49,CB49*BZ49)</f>
        <v>#REF!</v>
      </c>
      <c r="CB49" s="98" t="e">
        <f>BW49</f>
        <v>#REF!</v>
      </c>
      <c r="CC49" s="79"/>
      <c r="CD49" s="17">
        <v>100</v>
      </c>
      <c r="CE49" s="22">
        <v>0.011</v>
      </c>
      <c r="CF49" s="18" t="e">
        <f>IF((CG49-CD49)&gt;0,CD49*CE49,CG49*CE49)</f>
        <v>#REF!</v>
      </c>
      <c r="CG49" s="98" t="e">
        <f>CB49</f>
        <v>#REF!</v>
      </c>
      <c r="CH49" s="38"/>
      <c r="CI49" s="38"/>
      <c r="CJ49" s="13">
        <v>6</v>
      </c>
      <c r="CK49" s="17">
        <v>1000000</v>
      </c>
      <c r="CL49" s="15" t="s">
        <v>154</v>
      </c>
      <c r="CM49" s="18">
        <v>7</v>
      </c>
      <c r="CN49" s="18">
        <v>7</v>
      </c>
      <c r="CO49" s="18">
        <v>0</v>
      </c>
      <c r="CP49" s="19">
        <f>IF(AND(CP41&gt;CK49,CP41&lt;=CL49),(CN49-CM49)/(CL49-CK49)*(CP41-CK49)+CM49,0)</f>
        <v>0</v>
      </c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127" t="s">
        <v>183</v>
      </c>
      <c r="DG49" s="17">
        <v>500000</v>
      </c>
      <c r="DH49" s="17">
        <v>17</v>
      </c>
      <c r="DI49" s="140">
        <v>500000</v>
      </c>
      <c r="DJ49" s="19">
        <v>17</v>
      </c>
    </row>
    <row r="50" spans="1:114">
      <c r="A50" s="37"/>
      <c r="B50" s="38"/>
      <c r="C50" s="38"/>
      <c r="D50" s="38"/>
      <c r="E50" s="38"/>
      <c r="F50" s="38"/>
      <c r="G50" s="38"/>
      <c r="H50" s="37"/>
      <c r="I50" s="38"/>
      <c r="J50" s="38"/>
      <c r="K50" s="38"/>
      <c r="L50" s="38"/>
      <c r="M50" s="38"/>
      <c r="N50" s="38"/>
      <c r="O50" s="37"/>
      <c r="P50" s="38"/>
      <c r="Q50" s="38"/>
      <c r="R50" s="38"/>
      <c r="S50" s="38"/>
      <c r="T50" s="38"/>
      <c r="U50" s="38"/>
      <c r="V50" s="38"/>
      <c r="W50" s="37"/>
      <c r="X50" s="38"/>
      <c r="Y50" s="38"/>
      <c r="Z50" s="38"/>
      <c r="AA50" s="38"/>
      <c r="AB50" s="38"/>
      <c r="AC50" s="37"/>
      <c r="AD50" s="38"/>
      <c r="AE50" s="38"/>
      <c r="AF50" s="38"/>
      <c r="AG50" s="38"/>
      <c r="AH50" s="38"/>
      <c r="AI50" s="37"/>
      <c r="AJ50" s="38"/>
      <c r="AK50" s="38"/>
      <c r="AL50" s="38"/>
      <c r="AM50" s="38"/>
      <c r="AN50" s="38"/>
      <c r="AO50" s="38"/>
      <c r="AP50" s="13"/>
      <c r="AQ50" s="17"/>
      <c r="AR50" s="30" t="s">
        <v>155</v>
      </c>
      <c r="AS50" s="24"/>
      <c r="AT50" s="24"/>
      <c r="AU50" s="28">
        <v>1</v>
      </c>
      <c r="AV50" s="28">
        <v>1</v>
      </c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73" t="s">
        <v>125</v>
      </c>
      <c r="BM50" s="88"/>
      <c r="BN50" s="88"/>
      <c r="BO50" s="89"/>
      <c r="BP50" s="82">
        <v>0.8</v>
      </c>
      <c r="BQ50" s="82" t="e">
        <f>BQ49*(BP50-1)</f>
        <v>#REF!</v>
      </c>
      <c r="BR50" s="38"/>
      <c r="BS50" s="79"/>
      <c r="BT50" s="17">
        <v>5000</v>
      </c>
      <c r="BU50" s="22">
        <v>0.015</v>
      </c>
      <c r="BV50" s="18" t="e">
        <f>IF((BW49-BT50)&gt;0,(BT50-BT49)*BU50,IF((BW49-BT49)*BU50&gt;0,(BW49-BT49)*BU50,0))</f>
        <v>#REF!</v>
      </c>
      <c r="BW50" s="99"/>
      <c r="BX50" s="79"/>
      <c r="BY50" s="17">
        <v>500</v>
      </c>
      <c r="BZ50" s="22">
        <v>0.01</v>
      </c>
      <c r="CA50" s="18" t="e">
        <f>IF((CB49-BY50)&gt;0,(BY50-BY49)*BZ50,IF((CB49-BY49)*BZ50&gt;0,(CB49-BY49)*BZ50,0))</f>
        <v>#REF!</v>
      </c>
      <c r="CB50" s="99"/>
      <c r="CC50" s="79"/>
      <c r="CD50" s="17">
        <v>500</v>
      </c>
      <c r="CE50" s="22">
        <v>0.01</v>
      </c>
      <c r="CF50" s="18" t="e">
        <f>IF((CG49-CD50)&gt;0,(CD50-CD49)*CE50,IF((CG49-CD49)*CE50&gt;0,(CG49-CD49)*CE50,0))</f>
        <v>#REF!</v>
      </c>
      <c r="CG50" s="99"/>
      <c r="CH50" s="38"/>
      <c r="CI50" s="38"/>
      <c r="CJ50" s="13"/>
      <c r="CK50" s="17"/>
      <c r="CL50" s="17"/>
      <c r="CM50" s="18"/>
      <c r="CN50" s="18"/>
      <c r="CO50" s="18"/>
      <c r="CP50" s="19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129" t="s">
        <v>186</v>
      </c>
      <c r="DG50" s="130" t="s">
        <v>187</v>
      </c>
      <c r="DH50" s="32"/>
      <c r="DI50" s="32"/>
      <c r="DJ50" s="158" t="s">
        <v>194</v>
      </c>
    </row>
    <row r="51" spans="1:114">
      <c r="A51" s="37"/>
      <c r="B51" s="38"/>
      <c r="C51" s="38"/>
      <c r="D51" s="38"/>
      <c r="E51" s="38"/>
      <c r="F51" s="38"/>
      <c r="G51" s="38"/>
      <c r="H51" s="37"/>
      <c r="I51" s="38"/>
      <c r="J51" s="38"/>
      <c r="K51" s="38"/>
      <c r="L51" s="38"/>
      <c r="M51" s="38"/>
      <c r="N51" s="38"/>
      <c r="O51" s="37"/>
      <c r="P51" s="38"/>
      <c r="Q51" s="38"/>
      <c r="R51" s="38"/>
      <c r="S51" s="38"/>
      <c r="T51" s="38"/>
      <c r="U51" s="38"/>
      <c r="V51" s="38"/>
      <c r="W51" s="37"/>
      <c r="X51" s="38"/>
      <c r="Y51" s="38"/>
      <c r="Z51" s="38"/>
      <c r="AA51" s="38"/>
      <c r="AB51" s="38"/>
      <c r="AC51" s="37"/>
      <c r="AD51" s="38"/>
      <c r="AE51" s="38"/>
      <c r="AF51" s="38"/>
      <c r="AG51" s="38"/>
      <c r="AH51" s="38"/>
      <c r="AI51" s="37"/>
      <c r="AJ51" s="38"/>
      <c r="AK51" s="38"/>
      <c r="AL51" s="38"/>
      <c r="AM51" s="38"/>
      <c r="AN51" s="38"/>
      <c r="AO51" s="38"/>
      <c r="AP51" s="31"/>
      <c r="AQ51" s="32"/>
      <c r="AR51" s="33" t="s">
        <v>159</v>
      </c>
      <c r="AS51" s="34"/>
      <c r="AT51" s="34"/>
      <c r="AU51" s="35">
        <v>0</v>
      </c>
      <c r="AV51" s="36">
        <v>0</v>
      </c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73" t="s">
        <v>127</v>
      </c>
      <c r="BM51" s="88"/>
      <c r="BN51" s="88"/>
      <c r="BO51" s="89"/>
      <c r="BP51" s="82">
        <v>1.2</v>
      </c>
      <c r="BQ51" s="82" t="e">
        <f>(BQ49+BQ50)*(BP51-1)</f>
        <v>#REF!</v>
      </c>
      <c r="BR51" s="38"/>
      <c r="BS51" s="79"/>
      <c r="BT51" s="17">
        <v>10000</v>
      </c>
      <c r="BU51" s="22">
        <v>0.012</v>
      </c>
      <c r="BV51" s="18" t="e">
        <f>IF((BW49-BT51)&gt;0,(BT51-BT50)*BU51,IF((BW49-BT50)*BU51&gt;0,(BW49-BT50)*BU51,0))</f>
        <v>#REF!</v>
      </c>
      <c r="BW51" s="99"/>
      <c r="BX51" s="79"/>
      <c r="BY51" s="17">
        <v>1000</v>
      </c>
      <c r="BZ51" s="22">
        <v>0.0085</v>
      </c>
      <c r="CA51" s="18" t="e">
        <f>IF((CB49-BY51)&gt;0,(BY51-BY50)*BZ51,IF((CB49-BY50)*BZ51&gt;0,(CB49-BY50)*BZ51,0))</f>
        <v>#REF!</v>
      </c>
      <c r="CB51" s="99"/>
      <c r="CC51" s="79"/>
      <c r="CD51" s="17">
        <v>1000</v>
      </c>
      <c r="CE51" s="22">
        <v>0.0085</v>
      </c>
      <c r="CF51" s="18" t="e">
        <f>IF((CG49-CD51)&gt;0,(CD51-CD50)*CE51,IF((CG49-CD50)*CE51&gt;0,(CG49-CD50)*CE51,0))</f>
        <v>#REF!</v>
      </c>
      <c r="CG51" s="99"/>
      <c r="CH51" s="38"/>
      <c r="CI51" s="38"/>
      <c r="CJ51" s="13"/>
      <c r="CK51" s="17"/>
      <c r="CL51" s="23" t="s">
        <v>92</v>
      </c>
      <c r="CM51" s="24"/>
      <c r="CN51" s="24"/>
      <c r="CO51" s="25">
        <f>SUM(CO44:CO49)</f>
        <v>0</v>
      </c>
      <c r="CP51" s="26">
        <f>SUM(CP44:CP49)</f>
        <v>0</v>
      </c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7"/>
      <c r="DG51" s="38"/>
      <c r="DH51" s="38"/>
      <c r="DI51" s="38"/>
      <c r="DJ51" s="38"/>
    </row>
    <row r="52" spans="1:114">
      <c r="A52" s="37"/>
      <c r="B52" s="38"/>
      <c r="C52" s="38"/>
      <c r="D52" s="38"/>
      <c r="E52" s="38"/>
      <c r="F52" s="38"/>
      <c r="G52" s="38"/>
      <c r="H52" s="37"/>
      <c r="I52" s="38"/>
      <c r="J52" s="38"/>
      <c r="K52" s="38"/>
      <c r="L52" s="38"/>
      <c r="M52" s="38"/>
      <c r="N52" s="38"/>
      <c r="O52" s="37"/>
      <c r="P52" s="38"/>
      <c r="Q52" s="38"/>
      <c r="R52" s="38"/>
      <c r="S52" s="38"/>
      <c r="T52" s="38"/>
      <c r="U52" s="38"/>
      <c r="V52" s="38"/>
      <c r="W52" s="37"/>
      <c r="X52" s="38"/>
      <c r="Y52" s="38"/>
      <c r="Z52" s="38"/>
      <c r="AA52" s="38"/>
      <c r="AB52" s="38"/>
      <c r="AC52" s="37"/>
      <c r="AD52" s="38"/>
      <c r="AE52" s="38"/>
      <c r="AF52" s="38"/>
      <c r="AG52" s="38"/>
      <c r="AH52" s="38"/>
      <c r="AI52" s="37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71"/>
      <c r="BM52" s="86"/>
      <c r="BN52" s="86"/>
      <c r="BO52" s="86"/>
      <c r="BP52" s="87"/>
      <c r="BQ52" s="82"/>
      <c r="BR52" s="38"/>
      <c r="BS52" s="79"/>
      <c r="BT52" s="17">
        <v>50000</v>
      </c>
      <c r="BU52" s="22">
        <v>0.01</v>
      </c>
      <c r="BV52" s="18" t="e">
        <f>IF((BW49-BT52)&gt;0,(BT52-BT51)*BU52,IF((BW49-BT51)*BU52&gt;0,(BW49-BT51)*BU52,0))</f>
        <v>#REF!</v>
      </c>
      <c r="BW52" s="99"/>
      <c r="BX52" s="79"/>
      <c r="BY52" s="17">
        <v>3000</v>
      </c>
      <c r="BZ52" s="22">
        <v>0.008</v>
      </c>
      <c r="CA52" s="18" t="e">
        <f>IF((CB49-BY52)&gt;0,(BY52-BY51)*BZ52,IF((CB49-BY51)*BZ52&gt;0,(CB49-BY51)*BZ52,0))</f>
        <v>#REF!</v>
      </c>
      <c r="CB52" s="99"/>
      <c r="CC52" s="79"/>
      <c r="CD52" s="17">
        <v>3000</v>
      </c>
      <c r="CE52" s="22">
        <v>0.008</v>
      </c>
      <c r="CF52" s="18" t="e">
        <f>IF((CG49-CD52)&gt;0,(CD52-CD51)*CE52,IF((CG49-CD51)*CE52&gt;0,(CG49-CD51)*CE52,0))</f>
        <v>#REF!</v>
      </c>
      <c r="CG52" s="99"/>
      <c r="CH52" s="38"/>
      <c r="CI52" s="38"/>
      <c r="CJ52" s="13"/>
      <c r="CK52" s="17"/>
      <c r="CL52" s="27" t="s">
        <v>125</v>
      </c>
      <c r="CM52" s="24"/>
      <c r="CN52" s="24"/>
      <c r="CO52" s="28">
        <v>1.1</v>
      </c>
      <c r="CP52" s="28">
        <v>0.8</v>
      </c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7" t="s">
        <v>195</v>
      </c>
      <c r="DG52" s="38" t="s">
        <v>196</v>
      </c>
      <c r="DH52" s="38" t="s">
        <v>158</v>
      </c>
      <c r="DI52" s="38"/>
      <c r="DJ52" s="38"/>
    </row>
    <row r="53" spans="1:114">
      <c r="A53" s="37"/>
      <c r="B53" s="38"/>
      <c r="C53" s="38"/>
      <c r="D53" s="38"/>
      <c r="E53" s="38"/>
      <c r="F53" s="38"/>
      <c r="G53" s="38"/>
      <c r="H53" s="37"/>
      <c r="I53" s="38"/>
      <c r="J53" s="38"/>
      <c r="K53" s="38"/>
      <c r="L53" s="38"/>
      <c r="M53" s="38"/>
      <c r="N53" s="38"/>
      <c r="O53" s="37"/>
      <c r="P53" s="38"/>
      <c r="Q53" s="38"/>
      <c r="R53" s="38"/>
      <c r="S53" s="38"/>
      <c r="T53" s="38"/>
      <c r="U53" s="38"/>
      <c r="V53" s="38"/>
      <c r="W53" s="37"/>
      <c r="X53" s="38"/>
      <c r="Y53" s="38"/>
      <c r="Z53" s="38"/>
      <c r="AA53" s="38"/>
      <c r="AB53" s="38"/>
      <c r="AC53" s="37"/>
      <c r="AD53" s="38"/>
      <c r="AE53" s="38"/>
      <c r="AF53" s="38"/>
      <c r="AG53" s="38"/>
      <c r="AH53" s="38"/>
      <c r="AI53" s="37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67" t="s">
        <v>197</v>
      </c>
      <c r="BM53" s="67"/>
      <c r="BN53" s="67"/>
      <c r="BO53" s="67"/>
      <c r="BP53" s="67"/>
      <c r="BQ53" s="90" t="e">
        <f>SUM(BQ49:BQ51)</f>
        <v>#REF!</v>
      </c>
      <c r="BR53" s="38"/>
      <c r="BS53" s="79"/>
      <c r="BT53" s="17">
        <v>100000</v>
      </c>
      <c r="BU53" s="103">
        <v>0.008</v>
      </c>
      <c r="BV53" s="18" t="e">
        <f>IF((BW49-BT53)&gt;0,(BT53-BT52)*BU53,IF((BW49-BT52)*BU53&gt;0,(BW49-BT52)*BU53,0))</f>
        <v>#REF!</v>
      </c>
      <c r="BW53" s="99"/>
      <c r="BX53" s="79"/>
      <c r="BY53" s="17">
        <v>5000</v>
      </c>
      <c r="BZ53" s="103">
        <v>0.0075</v>
      </c>
      <c r="CA53" s="18" t="e">
        <f>IF((CB49-BY53)&gt;0,(BY53-BY52)*BZ53,IF((CB49-BY52)*BZ53&gt;0,(CB49-BY52)*BZ53,0))</f>
        <v>#REF!</v>
      </c>
      <c r="CB53" s="99"/>
      <c r="CC53" s="79"/>
      <c r="CD53" s="17">
        <v>5000</v>
      </c>
      <c r="CE53" s="103">
        <v>0.0075</v>
      </c>
      <c r="CF53" s="18" t="e">
        <f>IF((CG49-CD53)&gt;0,(CD53-CD52)*CE53,IF((CG49-CD52)*CE53&gt;0,(CG49-CD52)*CE53,0))</f>
        <v>#REF!</v>
      </c>
      <c r="CG53" s="99"/>
      <c r="CH53" s="38"/>
      <c r="CI53" s="38"/>
      <c r="CJ53" s="13"/>
      <c r="CK53" s="17"/>
      <c r="CL53" s="27" t="s">
        <v>149</v>
      </c>
      <c r="CM53" s="24"/>
      <c r="CN53" s="24"/>
      <c r="CO53" s="28">
        <v>1.2</v>
      </c>
      <c r="CP53" s="28">
        <v>1</v>
      </c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7">
        <v>1</v>
      </c>
      <c r="DG53" s="38" t="s">
        <v>198</v>
      </c>
      <c r="DH53" s="38"/>
      <c r="DI53" s="38"/>
      <c r="DJ53" s="38"/>
    </row>
    <row r="54" ht="36" spans="1:114">
      <c r="A54" s="37"/>
      <c r="B54" s="38"/>
      <c r="C54" s="38"/>
      <c r="D54" s="38"/>
      <c r="E54" s="38"/>
      <c r="F54" s="38"/>
      <c r="G54" s="38"/>
      <c r="H54" s="37"/>
      <c r="I54" s="38"/>
      <c r="J54" s="38"/>
      <c r="K54" s="38"/>
      <c r="L54" s="38"/>
      <c r="M54" s="38"/>
      <c r="N54" s="38"/>
      <c r="O54" s="37"/>
      <c r="P54" s="38"/>
      <c r="Q54" s="38"/>
      <c r="R54" s="38"/>
      <c r="S54" s="38"/>
      <c r="T54" s="38"/>
      <c r="U54" s="38"/>
      <c r="V54" s="38"/>
      <c r="W54" s="37"/>
      <c r="X54" s="38"/>
      <c r="Y54" s="38"/>
      <c r="Z54" s="38"/>
      <c r="AA54" s="38"/>
      <c r="AB54" s="38"/>
      <c r="AC54" s="37"/>
      <c r="AD54" s="38"/>
      <c r="AE54" s="38"/>
      <c r="AF54" s="38"/>
      <c r="AG54" s="38"/>
      <c r="AH54" s="38"/>
      <c r="AI54" s="3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79" t="s">
        <v>113</v>
      </c>
      <c r="BT54" s="17">
        <v>100000</v>
      </c>
      <c r="BU54" s="103">
        <v>0.004</v>
      </c>
      <c r="BV54" s="18" t="e">
        <f>IF((BW49-BT54)&gt;0,(BT54-BT53)*BU54,IF((BW49-BT53)*BU54&gt;0,(BW49-BT53)*BU54,0))</f>
        <v>#REF!</v>
      </c>
      <c r="BW54" s="99"/>
      <c r="BX54" s="79"/>
      <c r="BY54" s="17">
        <v>10000</v>
      </c>
      <c r="BZ54" s="103">
        <v>0.007</v>
      </c>
      <c r="CA54" s="18" t="e">
        <f>IF((CB49-BY54)&gt;0,(BY54-BY53)*BZ54,IF((CB49-BY53)*BZ54&gt;0,(CB49-BY53)*BZ54,0))</f>
        <v>#REF!</v>
      </c>
      <c r="CB54" s="99"/>
      <c r="CC54" s="79"/>
      <c r="CD54" s="17">
        <v>10000</v>
      </c>
      <c r="CE54" s="103">
        <v>0.007</v>
      </c>
      <c r="CF54" s="18" t="e">
        <f>IF((CG49-CD54)&gt;0,(CD54-CD53)*CE54,IF((CG49-CD53)*CE54&gt;0,(CG49-CD53)*CE54,0))</f>
        <v>#REF!</v>
      </c>
      <c r="CG54" s="99"/>
      <c r="CH54" s="38"/>
      <c r="CI54" s="38"/>
      <c r="CJ54" s="13"/>
      <c r="CK54" s="17"/>
      <c r="CL54" s="27" t="s">
        <v>168</v>
      </c>
      <c r="CM54" s="24"/>
      <c r="CN54" s="24"/>
      <c r="CO54" s="28">
        <v>1</v>
      </c>
      <c r="CP54" s="28">
        <v>0.85</v>
      </c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106" t="s">
        <v>2</v>
      </c>
      <c r="DG54" s="122" t="s">
        <v>164</v>
      </c>
      <c r="DH54" s="122" t="s">
        <v>165</v>
      </c>
      <c r="DI54" s="122" t="s">
        <v>118</v>
      </c>
      <c r="DJ54" s="132" t="s">
        <v>166</v>
      </c>
    </row>
    <row r="55" spans="1:114">
      <c r="A55" s="37"/>
      <c r="B55" s="38"/>
      <c r="C55" s="38"/>
      <c r="D55" s="38"/>
      <c r="E55" s="38"/>
      <c r="F55" s="38"/>
      <c r="G55" s="38"/>
      <c r="H55" s="37"/>
      <c r="I55" s="38"/>
      <c r="J55" s="38"/>
      <c r="K55" s="38"/>
      <c r="L55" s="38"/>
      <c r="M55" s="38"/>
      <c r="N55" s="38"/>
      <c r="O55" s="37"/>
      <c r="P55" s="38"/>
      <c r="Q55" s="38"/>
      <c r="R55" s="38"/>
      <c r="S55" s="38"/>
      <c r="T55" s="38"/>
      <c r="U55" s="38"/>
      <c r="V55" s="38"/>
      <c r="W55" s="37"/>
      <c r="X55" s="38"/>
      <c r="Y55" s="38"/>
      <c r="Z55" s="38"/>
      <c r="AA55" s="38"/>
      <c r="AB55" s="38"/>
      <c r="AC55" s="37"/>
      <c r="AD55" s="38"/>
      <c r="AE55" s="38"/>
      <c r="AF55" s="38"/>
      <c r="AG55" s="38"/>
      <c r="AH55" s="38"/>
      <c r="AI55" s="37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47" t="s">
        <v>199</v>
      </c>
      <c r="BM55" s="1"/>
      <c r="BN55" s="1"/>
      <c r="BO55" s="1"/>
      <c r="BP55" s="1"/>
      <c r="BQ55" s="1"/>
      <c r="BR55" s="38"/>
      <c r="BS55" s="53"/>
      <c r="BT55" s="17"/>
      <c r="BU55" s="103"/>
      <c r="BV55" s="18"/>
      <c r="BW55" s="99"/>
      <c r="BX55" s="53" t="s">
        <v>113</v>
      </c>
      <c r="BY55" s="17">
        <v>10000</v>
      </c>
      <c r="BZ55" s="103">
        <v>0.0065</v>
      </c>
      <c r="CA55" s="18" t="e">
        <f>IF((CB49-BY55)&gt;0,(CB49-BY54)*BZ55,0)</f>
        <v>#REF!</v>
      </c>
      <c r="CB55" s="99"/>
      <c r="CC55" s="53" t="s">
        <v>113</v>
      </c>
      <c r="CD55" s="17">
        <v>10000</v>
      </c>
      <c r="CE55" s="103">
        <v>0.0065</v>
      </c>
      <c r="CF55" s="18" t="e">
        <f>IF((CG49-CD55)&gt;0,(CG49-CD54)*CE55,0)</f>
        <v>#REF!</v>
      </c>
      <c r="CG55" s="99"/>
      <c r="CH55" s="38"/>
      <c r="CI55" s="38"/>
      <c r="CJ55" s="13"/>
      <c r="CK55" s="17"/>
      <c r="CL55" s="30" t="s">
        <v>173</v>
      </c>
      <c r="CM55" s="24"/>
      <c r="CN55" s="24"/>
      <c r="CO55" s="28">
        <v>1</v>
      </c>
      <c r="CP55" s="28">
        <v>1</v>
      </c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127" t="s">
        <v>169</v>
      </c>
      <c r="DG55" s="128" t="s">
        <v>170</v>
      </c>
      <c r="DH55" s="17"/>
      <c r="DI55" s="17"/>
      <c r="DJ55" s="99">
        <v>0</v>
      </c>
    </row>
    <row r="56" spans="1:114">
      <c r="A56" s="37"/>
      <c r="B56" s="38"/>
      <c r="C56" s="38"/>
      <c r="D56" s="38"/>
      <c r="E56" s="38"/>
      <c r="F56" s="38"/>
      <c r="G56" s="38"/>
      <c r="H56" s="37"/>
      <c r="I56" s="38"/>
      <c r="J56" s="38"/>
      <c r="K56" s="38"/>
      <c r="L56" s="38"/>
      <c r="M56" s="38"/>
      <c r="N56" s="38"/>
      <c r="O56" s="37"/>
      <c r="P56" s="38"/>
      <c r="Q56" s="38"/>
      <c r="R56" s="38"/>
      <c r="S56" s="38"/>
      <c r="T56" s="38"/>
      <c r="U56" s="38"/>
      <c r="V56" s="38"/>
      <c r="W56" s="37"/>
      <c r="X56" s="38"/>
      <c r="Y56" s="38"/>
      <c r="Z56" s="38"/>
      <c r="AA56" s="38"/>
      <c r="AB56" s="38"/>
      <c r="AC56" s="37"/>
      <c r="AD56" s="38"/>
      <c r="AE56" s="38"/>
      <c r="AF56" s="38"/>
      <c r="AG56" s="38"/>
      <c r="AH56" s="38"/>
      <c r="AI56" s="37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65" t="s">
        <v>50</v>
      </c>
      <c r="BM56" s="65"/>
      <c r="BN56" s="65"/>
      <c r="BO56" s="65"/>
      <c r="BP56" s="65"/>
      <c r="BQ56" s="65"/>
      <c r="BR56" s="38"/>
      <c r="BS56" s="85"/>
      <c r="BT56" s="32" t="s">
        <v>119</v>
      </c>
      <c r="BU56" s="32"/>
      <c r="BV56" s="101" t="e">
        <f>SUM(BV49:BV55)</f>
        <v>#REF!</v>
      </c>
      <c r="BW56" s="102" t="e">
        <f>BV56</f>
        <v>#REF!</v>
      </c>
      <c r="BX56" s="85"/>
      <c r="BY56" s="32" t="s">
        <v>119</v>
      </c>
      <c r="BZ56" s="32"/>
      <c r="CA56" s="101" t="e">
        <f>SUM(CA49:CA55)</f>
        <v>#REF!</v>
      </c>
      <c r="CB56" s="102" t="e">
        <f>CA56</f>
        <v>#REF!</v>
      </c>
      <c r="CC56" s="85"/>
      <c r="CD56" s="32" t="s">
        <v>119</v>
      </c>
      <c r="CE56" s="32"/>
      <c r="CF56" s="101" t="e">
        <f>SUM(CF49:CF55)</f>
        <v>#REF!</v>
      </c>
      <c r="CG56" s="102" t="e">
        <f>CF56</f>
        <v>#REF!</v>
      </c>
      <c r="CH56" s="38"/>
      <c r="CI56" s="38"/>
      <c r="CJ56" s="31"/>
      <c r="CK56" s="32"/>
      <c r="CL56" s="33" t="s">
        <v>159</v>
      </c>
      <c r="CM56" s="34"/>
      <c r="CN56" s="34"/>
      <c r="CO56" s="35">
        <v>0</v>
      </c>
      <c r="CP56" s="36">
        <v>0</v>
      </c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127" t="s">
        <v>174</v>
      </c>
      <c r="DG56" s="17">
        <v>3000</v>
      </c>
      <c r="DH56" s="17">
        <v>12</v>
      </c>
      <c r="DI56" s="133" t="e">
        <f>SUM([1]估算总表!CG107)</f>
        <v>#REF!</v>
      </c>
      <c r="DJ56" s="156" t="e">
        <f>DH56+(DI56-DG56)*(DH57-DH56)/(DG57-DG56)</f>
        <v>#REF!</v>
      </c>
    </row>
    <row r="57" spans="1:114">
      <c r="A57" s="37"/>
      <c r="B57" s="38"/>
      <c r="C57" s="38"/>
      <c r="D57" s="38"/>
      <c r="E57" s="38"/>
      <c r="F57" s="38"/>
      <c r="G57" s="38"/>
      <c r="H57" s="37"/>
      <c r="I57" s="38"/>
      <c r="J57" s="38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8"/>
      <c r="V57" s="38"/>
      <c r="W57" s="37"/>
      <c r="X57" s="38"/>
      <c r="Y57" s="38"/>
      <c r="Z57" s="38"/>
      <c r="AA57" s="38"/>
      <c r="AB57" s="38"/>
      <c r="AC57" s="37"/>
      <c r="AD57" s="38"/>
      <c r="AE57" s="38"/>
      <c r="AF57" s="38"/>
      <c r="AG57" s="38"/>
      <c r="AH57" s="38"/>
      <c r="AI57" s="37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67" t="s">
        <v>65</v>
      </c>
      <c r="BM57" s="67"/>
      <c r="BN57" s="67"/>
      <c r="BO57" s="67"/>
      <c r="BP57" s="67"/>
      <c r="BQ57" s="75" t="e">
        <f>BQ3</f>
        <v>#REF!</v>
      </c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127" t="s">
        <v>176</v>
      </c>
      <c r="DG57" s="17">
        <v>10000</v>
      </c>
      <c r="DH57" s="17">
        <v>28</v>
      </c>
      <c r="DI57" s="133">
        <v>10000</v>
      </c>
      <c r="DJ57" s="156">
        <f>DH57+(DI57-DG57)*(DH58-DH57)/(DG58-DG57)</f>
        <v>28</v>
      </c>
    </row>
    <row r="58" spans="1:114">
      <c r="A58" s="37"/>
      <c r="B58" s="38"/>
      <c r="C58" s="38"/>
      <c r="D58" s="38"/>
      <c r="E58" s="38"/>
      <c r="F58" s="38"/>
      <c r="G58" s="38"/>
      <c r="H58" s="37"/>
      <c r="I58" s="38"/>
      <c r="J58" s="38"/>
      <c r="K58" s="38"/>
      <c r="L58" s="38"/>
      <c r="M58" s="38"/>
      <c r="N58" s="38"/>
      <c r="O58" s="37"/>
      <c r="P58" s="38"/>
      <c r="Q58" s="38"/>
      <c r="R58" s="38"/>
      <c r="S58" s="38"/>
      <c r="T58" s="38"/>
      <c r="U58" s="38"/>
      <c r="V58" s="38"/>
      <c r="W58" s="37"/>
      <c r="X58" s="38"/>
      <c r="Y58" s="38"/>
      <c r="Z58" s="38"/>
      <c r="AA58" s="38"/>
      <c r="AB58" s="38"/>
      <c r="AC58" s="37"/>
      <c r="AD58" s="38"/>
      <c r="AE58" s="38"/>
      <c r="AF58" s="38"/>
      <c r="AG58" s="38"/>
      <c r="AH58" s="38"/>
      <c r="AI58" s="37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69" t="s">
        <v>2</v>
      </c>
      <c r="BM58" s="69" t="s">
        <v>84</v>
      </c>
      <c r="BN58" s="69"/>
      <c r="BO58" s="69" t="s">
        <v>200</v>
      </c>
      <c r="BP58" s="69"/>
      <c r="BQ58" s="78" t="s">
        <v>201</v>
      </c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127" t="s">
        <v>179</v>
      </c>
      <c r="DG58" s="17">
        <v>50000</v>
      </c>
      <c r="DH58" s="17">
        <v>75</v>
      </c>
      <c r="DI58" s="133">
        <v>50000</v>
      </c>
      <c r="DJ58" s="156">
        <f>DH58+(DI58-DG58)*(DH59-DH58)/(DG59-DG58)</f>
        <v>75</v>
      </c>
    </row>
    <row r="59" spans="1:114">
      <c r="A59" s="37"/>
      <c r="B59" s="38"/>
      <c r="C59" s="38"/>
      <c r="D59" s="38"/>
      <c r="E59" s="38"/>
      <c r="F59" s="38"/>
      <c r="G59" s="38"/>
      <c r="H59" s="37"/>
      <c r="I59" s="38"/>
      <c r="J59" s="38"/>
      <c r="K59" s="38"/>
      <c r="L59" s="38"/>
      <c r="M59" s="38"/>
      <c r="N59" s="38"/>
      <c r="O59" s="37"/>
      <c r="P59" s="38"/>
      <c r="Q59" s="38"/>
      <c r="R59" s="38"/>
      <c r="S59" s="38"/>
      <c r="T59" s="38"/>
      <c r="U59" s="38"/>
      <c r="V59" s="38"/>
      <c r="W59" s="37"/>
      <c r="X59" s="38"/>
      <c r="Y59" s="38"/>
      <c r="Z59" s="38"/>
      <c r="AA59" s="38"/>
      <c r="AB59" s="38"/>
      <c r="AC59" s="37"/>
      <c r="AD59" s="38"/>
      <c r="AE59" s="38"/>
      <c r="AF59" s="38"/>
      <c r="AG59" s="38"/>
      <c r="AH59" s="38"/>
      <c r="AI59" s="37"/>
      <c r="AJ59" s="38"/>
      <c r="AK59" s="38"/>
      <c r="AL59" s="38"/>
      <c r="AM59" s="38"/>
      <c r="AN59" s="38"/>
      <c r="AO59" s="38"/>
      <c r="AP59" s="38"/>
      <c r="AQ59" s="38"/>
      <c r="AR59" s="38">
        <f>170+(50000-10000)*1.2%</f>
        <v>650</v>
      </c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69"/>
      <c r="BM59" s="69" t="s">
        <v>95</v>
      </c>
      <c r="BN59" s="69"/>
      <c r="BO59" s="69" t="s">
        <v>96</v>
      </c>
      <c r="BP59" s="69"/>
      <c r="BQ59" s="69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7" t="s">
        <v>202</v>
      </c>
      <c r="CK59" s="37"/>
      <c r="CL59" s="37"/>
      <c r="CM59" s="37"/>
      <c r="CN59" s="37"/>
      <c r="CO59" s="37"/>
      <c r="CP59" s="37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127" t="s">
        <v>181</v>
      </c>
      <c r="DG59" s="17">
        <v>100000</v>
      </c>
      <c r="DH59" s="17">
        <v>110</v>
      </c>
      <c r="DI59" s="133">
        <v>400000</v>
      </c>
      <c r="DJ59" s="156">
        <f>DH59+(DI59-DG59)*(DH60-DH59)/(DG60-DG59)</f>
        <v>177.5</v>
      </c>
    </row>
    <row r="60" spans="1:114">
      <c r="A60" s="37"/>
      <c r="B60" s="38"/>
      <c r="C60" s="38"/>
      <c r="D60" s="38"/>
      <c r="E60" s="38"/>
      <c r="F60" s="38"/>
      <c r="G60" s="38"/>
      <c r="H60" s="37"/>
      <c r="I60" s="38"/>
      <c r="J60" s="38"/>
      <c r="K60" s="38"/>
      <c r="L60" s="38"/>
      <c r="M60" s="38"/>
      <c r="N60" s="38"/>
      <c r="O60" s="37"/>
      <c r="P60" s="38"/>
      <c r="Q60" s="38"/>
      <c r="R60" s="38"/>
      <c r="S60" s="38"/>
      <c r="T60" s="38"/>
      <c r="U60" s="38"/>
      <c r="V60" s="38"/>
      <c r="W60" s="37"/>
      <c r="X60" s="38"/>
      <c r="Y60" s="38"/>
      <c r="Z60" s="38"/>
      <c r="AA60" s="38"/>
      <c r="AB60" s="38"/>
      <c r="AC60" s="37"/>
      <c r="AD60" s="38"/>
      <c r="AE60" s="38"/>
      <c r="AF60" s="38"/>
      <c r="AG60" s="38"/>
      <c r="AH60" s="38"/>
      <c r="AI60" s="37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69">
        <v>1</v>
      </c>
      <c r="BM60" s="81">
        <v>0</v>
      </c>
      <c r="BN60" s="81">
        <v>3000</v>
      </c>
      <c r="BO60" s="82">
        <v>0</v>
      </c>
      <c r="BP60" s="82">
        <v>5</v>
      </c>
      <c r="BQ60" s="82" t="e">
        <f>IF(AND(BQ57&gt;BM60,BQ57&lt;=BN60),(BP60-BO60)/(BN60-BM60)*(BQ57-BM60)+BO60,0)</f>
        <v>#REF!</v>
      </c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114" t="s">
        <v>134</v>
      </c>
      <c r="CK60" s="114"/>
      <c r="CL60" s="114"/>
      <c r="CM60" s="114"/>
      <c r="CN60" s="114"/>
      <c r="CO60" s="114"/>
      <c r="CP60" s="114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127" t="s">
        <v>183</v>
      </c>
      <c r="DG60" s="17">
        <v>500000</v>
      </c>
      <c r="DH60" s="17">
        <v>200</v>
      </c>
      <c r="DI60" s="133">
        <v>500000</v>
      </c>
      <c r="DJ60" s="19">
        <v>200</v>
      </c>
    </row>
    <row r="61" spans="1:114">
      <c r="A61" s="37"/>
      <c r="B61" s="38"/>
      <c r="C61" s="38"/>
      <c r="D61" s="38"/>
      <c r="E61" s="38"/>
      <c r="F61" s="38"/>
      <c r="G61" s="38"/>
      <c r="H61" s="37"/>
      <c r="I61" s="38"/>
      <c r="J61" s="38"/>
      <c r="K61" s="38"/>
      <c r="L61" s="38"/>
      <c r="M61" s="38"/>
      <c r="N61" s="38"/>
      <c r="O61" s="37"/>
      <c r="P61" s="38"/>
      <c r="Q61" s="38"/>
      <c r="R61" s="38"/>
      <c r="S61" s="38"/>
      <c r="T61" s="38"/>
      <c r="U61" s="38"/>
      <c r="V61" s="38"/>
      <c r="W61" s="37"/>
      <c r="X61" s="38"/>
      <c r="Y61" s="38"/>
      <c r="Z61" s="38"/>
      <c r="AA61" s="38"/>
      <c r="AB61" s="38"/>
      <c r="AC61" s="37"/>
      <c r="AD61" s="38"/>
      <c r="AE61" s="38"/>
      <c r="AF61" s="38"/>
      <c r="AG61" s="38"/>
      <c r="AH61" s="38"/>
      <c r="AI61" s="37"/>
      <c r="AJ61" s="38"/>
      <c r="AK61" s="38"/>
      <c r="AL61" s="38"/>
      <c r="AM61" s="38">
        <f>23+(5000-1000)*1.8%</f>
        <v>95</v>
      </c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69">
        <v>2</v>
      </c>
      <c r="BM61" s="81">
        <v>3000</v>
      </c>
      <c r="BN61" s="81">
        <v>10000</v>
      </c>
      <c r="BO61" s="82">
        <v>5</v>
      </c>
      <c r="BP61" s="82">
        <v>10</v>
      </c>
      <c r="BQ61" s="82" t="e">
        <f>IF(AND(BQ57&gt;BM61,BQ57&lt;=BN61),(BP61-BO61)/(BN61-BM61)*(BQ57-BM61)+BO61,0)</f>
        <v>#REF!</v>
      </c>
      <c r="BR61" s="38"/>
      <c r="BS61" s="38"/>
      <c r="BT61" s="38"/>
      <c r="BU61" s="38" t="s">
        <v>203</v>
      </c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58" t="s">
        <v>57</v>
      </c>
      <c r="CK61" s="59"/>
      <c r="CL61" s="59"/>
      <c r="CM61" s="59"/>
      <c r="CN61" s="60"/>
      <c r="CO61" s="61">
        <f>CO41</f>
        <v>0</v>
      </c>
      <c r="CP61" s="62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129" t="s">
        <v>186</v>
      </c>
      <c r="DG61" s="130" t="s">
        <v>187</v>
      </c>
      <c r="DH61" s="32"/>
      <c r="DI61" s="159"/>
      <c r="DJ61" s="158" t="s">
        <v>204</v>
      </c>
    </row>
    <row r="62" spans="1:114">
      <c r="A62" s="37"/>
      <c r="B62" s="38"/>
      <c r="C62" s="38"/>
      <c r="D62" s="38"/>
      <c r="E62" s="38"/>
      <c r="F62" s="38"/>
      <c r="G62" s="38"/>
      <c r="H62" s="37"/>
      <c r="I62" s="38"/>
      <c r="J62" s="38"/>
      <c r="K62" s="38"/>
      <c r="L62" s="38"/>
      <c r="M62" s="38"/>
      <c r="N62" s="38"/>
      <c r="O62" s="37"/>
      <c r="P62" s="38"/>
      <c r="Q62" s="38"/>
      <c r="R62" s="38"/>
      <c r="S62" s="38"/>
      <c r="T62" s="38"/>
      <c r="U62" s="38"/>
      <c r="V62" s="38"/>
      <c r="W62" s="37"/>
      <c r="X62" s="38"/>
      <c r="Y62" s="38"/>
      <c r="Z62" s="38"/>
      <c r="AA62" s="38"/>
      <c r="AB62" s="38"/>
      <c r="AC62" s="37"/>
      <c r="AD62" s="38"/>
      <c r="AE62" s="38"/>
      <c r="AF62" s="38"/>
      <c r="AG62" s="38"/>
      <c r="AH62" s="38"/>
      <c r="AI62" s="37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69">
        <v>3</v>
      </c>
      <c r="BM62" s="81">
        <v>10000</v>
      </c>
      <c r="BN62" s="81">
        <v>50000</v>
      </c>
      <c r="BO62" s="82">
        <v>10</v>
      </c>
      <c r="BP62" s="82">
        <v>15</v>
      </c>
      <c r="BQ62" s="82" t="e">
        <f>IF(AND(BQ57&gt;BM62,BQ57&lt;=BN62),(BP62-BO62)/(BN62-BM62)*(BQ57-BM62)+BO62,0)</f>
        <v>#REF!</v>
      </c>
      <c r="BR62" s="38"/>
      <c r="BS62" s="4" t="s">
        <v>57</v>
      </c>
      <c r="BT62" s="5"/>
      <c r="BU62" s="5"/>
      <c r="BV62" s="5"/>
      <c r="BW62" s="5"/>
      <c r="BX62" s="5" t="s">
        <v>62</v>
      </c>
      <c r="BY62" s="5"/>
      <c r="BZ62" s="38"/>
      <c r="CA62" s="38"/>
      <c r="CB62" s="5"/>
      <c r="CC62" s="38"/>
      <c r="CD62" s="38"/>
      <c r="CE62" s="38"/>
      <c r="CF62" s="38"/>
      <c r="CG62" s="38"/>
      <c r="CH62" s="38"/>
      <c r="CI62" s="38"/>
      <c r="CJ62" s="7" t="s">
        <v>137</v>
      </c>
      <c r="CK62" s="8"/>
      <c r="CL62" s="8"/>
      <c r="CM62" s="8"/>
      <c r="CN62" s="8"/>
      <c r="CO62" s="11">
        <f>CO71*CO72*CO73*CO74*CO75*(1-CO76)</f>
        <v>0</v>
      </c>
      <c r="CP62" s="12">
        <f>CP71*CP72*CP73*CP74*CP75*(1-CP76)</f>
        <v>0</v>
      </c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40">
        <f>CO62+CO82</f>
        <v>0</v>
      </c>
      <c r="DD62" s="38"/>
      <c r="DE62" s="38"/>
      <c r="DF62" s="37">
        <v>2</v>
      </c>
      <c r="DG62" s="38" t="s">
        <v>205</v>
      </c>
      <c r="DH62" s="38"/>
      <c r="DI62" s="38"/>
      <c r="DJ62" s="38"/>
    </row>
    <row r="63" ht="36" spans="1:114">
      <c r="A63" s="37"/>
      <c r="B63" s="38"/>
      <c r="C63" s="38"/>
      <c r="D63" s="38"/>
      <c r="E63" s="38"/>
      <c r="F63" s="38"/>
      <c r="G63" s="38"/>
      <c r="H63" s="37"/>
      <c r="I63" s="38"/>
      <c r="J63" s="38"/>
      <c r="K63" s="38"/>
      <c r="L63" s="38"/>
      <c r="M63" s="38"/>
      <c r="N63" s="38"/>
      <c r="O63" s="37"/>
      <c r="P63" s="38"/>
      <c r="Q63" s="38"/>
      <c r="R63" s="38"/>
      <c r="S63" s="38"/>
      <c r="T63" s="38"/>
      <c r="U63" s="38"/>
      <c r="V63" s="38"/>
      <c r="W63" s="37"/>
      <c r="X63" s="38"/>
      <c r="Y63" s="38"/>
      <c r="Z63" s="38"/>
      <c r="AA63" s="38"/>
      <c r="AB63" s="38"/>
      <c r="AC63" s="37"/>
      <c r="AD63" s="38"/>
      <c r="AE63" s="38"/>
      <c r="AF63" s="38"/>
      <c r="AG63" s="38"/>
      <c r="AH63" s="38"/>
      <c r="AI63" s="37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69">
        <v>4</v>
      </c>
      <c r="BM63" s="81">
        <v>50000</v>
      </c>
      <c r="BN63" s="81">
        <v>100000</v>
      </c>
      <c r="BO63" s="82">
        <v>15</v>
      </c>
      <c r="BP63" s="82">
        <v>20</v>
      </c>
      <c r="BQ63" s="82" t="e">
        <f>IF(AND(BQ57&gt;BM63,BQ57&lt;=BN63),(BP63-BO63)/(BN63-BM63)*(BQ57-BM63)+BO63,0)</f>
        <v>#REF!</v>
      </c>
      <c r="BR63" s="38"/>
      <c r="BS63" s="7"/>
      <c r="BT63" s="8"/>
      <c r="BU63" s="8"/>
      <c r="BV63" s="8"/>
      <c r="BW63" s="8"/>
      <c r="BX63" s="9" t="e">
        <f>#REF!</f>
        <v>#REF!</v>
      </c>
      <c r="BY63" s="9" t="e">
        <f>BX63</f>
        <v>#REF!</v>
      </c>
      <c r="BZ63" s="38"/>
      <c r="CA63" s="38"/>
      <c r="CB63" s="9" t="e">
        <f>#REF!</f>
        <v>#REF!</v>
      </c>
      <c r="CC63" s="38"/>
      <c r="CD63" s="38"/>
      <c r="CE63" s="38"/>
      <c r="CF63" s="38"/>
      <c r="CG63" s="38"/>
      <c r="CH63" s="38"/>
      <c r="CI63" s="38"/>
      <c r="CJ63" s="13" t="s">
        <v>2</v>
      </c>
      <c r="CK63" s="14" t="s">
        <v>90</v>
      </c>
      <c r="CL63" s="14"/>
      <c r="CM63" s="14" t="s">
        <v>91</v>
      </c>
      <c r="CN63" s="14"/>
      <c r="CO63" s="15" t="s">
        <v>92</v>
      </c>
      <c r="CP63" s="16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106" t="s">
        <v>2</v>
      </c>
      <c r="DG63" s="122" t="s">
        <v>164</v>
      </c>
      <c r="DH63" s="122" t="s">
        <v>165</v>
      </c>
      <c r="DI63" s="122" t="s">
        <v>118</v>
      </c>
      <c r="DJ63" s="132" t="s">
        <v>166</v>
      </c>
    </row>
    <row r="64" spans="1:114">
      <c r="A64" s="37"/>
      <c r="B64" s="38"/>
      <c r="C64" s="38"/>
      <c r="D64" s="38"/>
      <c r="E64" s="38"/>
      <c r="F64" s="38"/>
      <c r="G64" s="38"/>
      <c r="H64" s="37"/>
      <c r="I64" s="38"/>
      <c r="J64" s="38"/>
      <c r="K64" s="38"/>
      <c r="L64" s="38"/>
      <c r="M64" s="38"/>
      <c r="N64" s="38"/>
      <c r="O64" s="37"/>
      <c r="P64" s="38"/>
      <c r="Q64" s="38"/>
      <c r="R64" s="38"/>
      <c r="S64" s="38"/>
      <c r="T64" s="38"/>
      <c r="U64" s="38"/>
      <c r="V64" s="38"/>
      <c r="W64" s="37"/>
      <c r="X64" s="38"/>
      <c r="Y64" s="38"/>
      <c r="Z64" s="38"/>
      <c r="AA64" s="38"/>
      <c r="AB64" s="38"/>
      <c r="AC64" s="37"/>
      <c r="AD64" s="38"/>
      <c r="AE64" s="38"/>
      <c r="AF64" s="38"/>
      <c r="AG64" s="38"/>
      <c r="AH64" s="38"/>
      <c r="AI64" s="37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69">
        <v>5</v>
      </c>
      <c r="BM64" s="83">
        <v>100000</v>
      </c>
      <c r="BN64" s="83">
        <v>500000</v>
      </c>
      <c r="BO64" s="84">
        <v>20</v>
      </c>
      <c r="BP64" s="84">
        <v>25</v>
      </c>
      <c r="BQ64" s="82" t="e">
        <f>IF(AND(BQ57&gt;BM64,BQ57&lt;=BN64),(BP64-BO64)/(BN64-BM64)*(BQ57-BM64)+BO64,0)</f>
        <v>#REF!</v>
      </c>
      <c r="BR64" s="38"/>
      <c r="BS64" s="7" t="s">
        <v>206</v>
      </c>
      <c r="BT64" s="8"/>
      <c r="BU64" s="8"/>
      <c r="BV64" s="8"/>
      <c r="BW64" s="8"/>
      <c r="BX64" s="11">
        <f>BX86*BX87*BX88*BX89*BX90*(1-BX91)</f>
        <v>0</v>
      </c>
      <c r="BY64" s="11" t="e">
        <f>SUM(BY66:BY79)</f>
        <v>#REF!</v>
      </c>
      <c r="BZ64" s="38"/>
      <c r="CA64" s="38"/>
      <c r="CB64" s="11" t="e">
        <f>SUM(CB66:CB79)</f>
        <v>#REF!</v>
      </c>
      <c r="CC64" s="38"/>
      <c r="CD64" s="38"/>
      <c r="CE64" s="38"/>
      <c r="CF64" s="38"/>
      <c r="CG64" s="38"/>
      <c r="CH64" s="38"/>
      <c r="CI64" s="38"/>
      <c r="CJ64" s="13">
        <v>1</v>
      </c>
      <c r="CK64" s="17">
        <v>0</v>
      </c>
      <c r="CL64" s="17">
        <f>10000*0.3</f>
        <v>3000</v>
      </c>
      <c r="CM64" s="18">
        <v>0.5</v>
      </c>
      <c r="CN64" s="18">
        <v>1.3</v>
      </c>
      <c r="CO64" s="18">
        <f>IF(AND(CO61&gt;CK64,CO61&lt;=CL64),(CN64-CM64)/(CL64-CK64)*(CO61-CK64)+CM64,0)</f>
        <v>0</v>
      </c>
      <c r="CP64" s="19">
        <f>IF(AND(CP61&gt;CK64,CP61&lt;=CL64),(CN64-CM64)/(CL64-CK64)*(CP61-CK64)+CM64,0)</f>
        <v>0</v>
      </c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127" t="s">
        <v>169</v>
      </c>
      <c r="DG64" s="128" t="s">
        <v>170</v>
      </c>
      <c r="DH64" s="17"/>
      <c r="DI64" s="17"/>
      <c r="DJ64" s="99">
        <v>0</v>
      </c>
    </row>
    <row r="65" spans="1:114">
      <c r="A65" s="37"/>
      <c r="B65" s="38"/>
      <c r="C65" s="38"/>
      <c r="D65" s="38"/>
      <c r="E65" s="38"/>
      <c r="F65" s="38"/>
      <c r="G65" s="38"/>
      <c r="H65" s="37"/>
      <c r="I65" s="38"/>
      <c r="J65" s="38"/>
      <c r="K65" s="38"/>
      <c r="L65" s="38"/>
      <c r="M65" s="38"/>
      <c r="N65" s="38"/>
      <c r="O65" s="37"/>
      <c r="P65" s="38"/>
      <c r="Q65" s="38"/>
      <c r="R65" s="38"/>
      <c r="S65" s="38"/>
      <c r="T65" s="38"/>
      <c r="U65" s="38"/>
      <c r="V65" s="38"/>
      <c r="W65" s="37"/>
      <c r="X65" s="38"/>
      <c r="Y65" s="38"/>
      <c r="Z65" s="38"/>
      <c r="AA65" s="38"/>
      <c r="AB65" s="38"/>
      <c r="AC65" s="37"/>
      <c r="AD65" s="38"/>
      <c r="AE65" s="38"/>
      <c r="AF65" s="38"/>
      <c r="AG65" s="38"/>
      <c r="AH65" s="38"/>
      <c r="AI65" s="37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69">
        <v>6</v>
      </c>
      <c r="BM65" s="81">
        <v>500000</v>
      </c>
      <c r="BN65" s="81">
        <v>2000000</v>
      </c>
      <c r="BO65" s="82">
        <v>25</v>
      </c>
      <c r="BP65" s="82">
        <v>35</v>
      </c>
      <c r="BQ65" s="82" t="e">
        <f>IF(AND(BQ57&gt;BM65,BQ57&lt;=BN65),(BP65-BO65)/(BN65-BM65)*(BQ57-BM65)+BO65,0)</f>
        <v>#REF!</v>
      </c>
      <c r="BR65" s="38"/>
      <c r="BS65" s="13" t="s">
        <v>2</v>
      </c>
      <c r="BT65" s="14" t="s">
        <v>90</v>
      </c>
      <c r="BU65" s="14"/>
      <c r="BV65" s="14" t="s">
        <v>91</v>
      </c>
      <c r="BW65" s="14"/>
      <c r="BX65" s="15" t="s">
        <v>92</v>
      </c>
      <c r="BY65" s="15" t="s">
        <v>92</v>
      </c>
      <c r="BZ65" s="38"/>
      <c r="CA65" s="38"/>
      <c r="CB65" s="15" t="s">
        <v>92</v>
      </c>
      <c r="CC65" s="38"/>
      <c r="CD65" s="38"/>
      <c r="CE65" s="38"/>
      <c r="CF65" s="38"/>
      <c r="CG65" s="38"/>
      <c r="CH65" s="38"/>
      <c r="CI65" s="38"/>
      <c r="CJ65" s="13">
        <v>2</v>
      </c>
      <c r="CK65" s="17">
        <f>0.3*10000</f>
        <v>3000</v>
      </c>
      <c r="CL65" s="17">
        <v>20000</v>
      </c>
      <c r="CM65" s="18">
        <v>1.3</v>
      </c>
      <c r="CN65" s="18">
        <v>3</v>
      </c>
      <c r="CO65" s="18">
        <f>IF(AND(CO61&gt;CK65,CO61&lt;=CL65),(CN65-CM65)/(CL65-CK65)*(CO61-CK65)+CM65,0)</f>
        <v>0</v>
      </c>
      <c r="CP65" s="19">
        <f>IF(AND(CP61&gt;CK65,CP61&lt;=CL65),(CN65-CM65)/(CL65-CK65)*(CP61-CK65)+CM65,0)</f>
        <v>0</v>
      </c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127" t="s">
        <v>174</v>
      </c>
      <c r="DG65" s="17">
        <v>3000</v>
      </c>
      <c r="DH65" s="17">
        <v>5</v>
      </c>
      <c r="DI65" s="133" t="e">
        <f>SUM([1]估算总表!CG107)</f>
        <v>#REF!</v>
      </c>
      <c r="DJ65" s="156" t="e">
        <f>DH65+(DI65-DG65)*(DH66-DH65)/(DG66-DG65)</f>
        <v>#REF!</v>
      </c>
    </row>
    <row r="66" spans="1:114">
      <c r="A66" s="37"/>
      <c r="B66" s="38"/>
      <c r="C66" s="38"/>
      <c r="D66" s="38"/>
      <c r="E66" s="38"/>
      <c r="F66" s="38"/>
      <c r="G66" s="38"/>
      <c r="H66" s="37"/>
      <c r="I66" s="38"/>
      <c r="J66" s="38"/>
      <c r="K66" s="38"/>
      <c r="L66" s="38"/>
      <c r="M66" s="38"/>
      <c r="N66" s="38"/>
      <c r="O66" s="37"/>
      <c r="P66" s="38"/>
      <c r="Q66" s="38"/>
      <c r="R66" s="38"/>
      <c r="S66" s="38"/>
      <c r="T66" s="38"/>
      <c r="U66" s="38"/>
      <c r="V66" s="38"/>
      <c r="W66" s="37"/>
      <c r="X66" s="38"/>
      <c r="Y66" s="38"/>
      <c r="Z66" s="38"/>
      <c r="AA66" s="38"/>
      <c r="AB66" s="38"/>
      <c r="AC66" s="37"/>
      <c r="AD66" s="38"/>
      <c r="AE66" s="38"/>
      <c r="AF66" s="38"/>
      <c r="AG66" s="38"/>
      <c r="AH66" s="38"/>
      <c r="AI66" s="37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71"/>
      <c r="BM66" s="86"/>
      <c r="BN66" s="86"/>
      <c r="BO66" s="86"/>
      <c r="BP66" s="87"/>
      <c r="BQ66" s="82"/>
      <c r="BR66" s="38"/>
      <c r="BS66" s="13">
        <v>1</v>
      </c>
      <c r="BT66" s="17">
        <v>0</v>
      </c>
      <c r="BU66" s="17">
        <v>200</v>
      </c>
      <c r="BV66" s="18">
        <v>0</v>
      </c>
      <c r="BW66" s="18">
        <v>0.72</v>
      </c>
      <c r="BX66" s="18" t="e">
        <f>IF(AND(BX63&gt;BT66,BX63&lt;=BU66),(BW66-BV66)/(BU66-BT66)*(BX63-BT66)+BV66,0)</f>
        <v>#REF!</v>
      </c>
      <c r="BY66" s="18" t="e">
        <f>IF(AND(BY63&gt;BU66,BY63&lt;=BV66),(BX66-BW66)/(BV66-BU66)*(BY63-BU66)+BW66,0)</f>
        <v>#REF!</v>
      </c>
      <c r="BZ66" s="38"/>
      <c r="CA66" s="38"/>
      <c r="CB66" s="18" t="e">
        <f>IF(AND(CB63&gt;BX66,CB63&lt;=BY66),(CA66-BZ66)/(BY66-BX66)*(CB63-BX66)+BZ66,0)</f>
        <v>#REF!</v>
      </c>
      <c r="CC66" s="38"/>
      <c r="CD66" s="38"/>
      <c r="CE66" s="38"/>
      <c r="CF66" s="38"/>
      <c r="CG66" s="38"/>
      <c r="CH66" s="38"/>
      <c r="CI66" s="38"/>
      <c r="CJ66" s="13">
        <v>3</v>
      </c>
      <c r="CK66" s="17">
        <v>20000</v>
      </c>
      <c r="CL66" s="17">
        <v>100000</v>
      </c>
      <c r="CM66" s="18">
        <v>3</v>
      </c>
      <c r="CN66" s="18">
        <v>7</v>
      </c>
      <c r="CO66" s="18">
        <f>IF(AND(CO61&gt;CK66,CO61&lt;=CL66),(CN66-CM66)/(CL66-CK66)*(CO61-CK66)+CM66,0)</f>
        <v>0</v>
      </c>
      <c r="CP66" s="19">
        <f>IF(AND(CP61&gt;CK66,CP61&lt;=CL66),(CN66-CM66)/(CL66-CK66)*(CP61-CK66)+CM66,0)</f>
        <v>0</v>
      </c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127" t="s">
        <v>176</v>
      </c>
      <c r="DG66" s="17">
        <v>10000</v>
      </c>
      <c r="DH66" s="17">
        <v>10</v>
      </c>
      <c r="DI66" s="133">
        <v>10000</v>
      </c>
      <c r="DJ66" s="156">
        <f>DH66+(DI66-DG66)*(DH67-DH66)/(DG67-DG66)</f>
        <v>10</v>
      </c>
    </row>
    <row r="67" spans="1:114">
      <c r="A67" s="37"/>
      <c r="B67" s="38"/>
      <c r="C67" s="38"/>
      <c r="D67" s="38"/>
      <c r="E67" s="38"/>
      <c r="F67" s="38"/>
      <c r="G67" s="38"/>
      <c r="H67" s="37"/>
      <c r="I67" s="38"/>
      <c r="J67" s="38"/>
      <c r="K67" s="38"/>
      <c r="L67" s="38"/>
      <c r="M67" s="38"/>
      <c r="N67" s="38"/>
      <c r="O67" s="37"/>
      <c r="P67" s="38"/>
      <c r="Q67" s="38"/>
      <c r="R67" s="38"/>
      <c r="S67" s="38"/>
      <c r="T67" s="38"/>
      <c r="U67" s="38"/>
      <c r="V67" s="38"/>
      <c r="W67" s="37"/>
      <c r="X67" s="38"/>
      <c r="Y67" s="38"/>
      <c r="Z67" s="38"/>
      <c r="AA67" s="38"/>
      <c r="AB67" s="38"/>
      <c r="AC67" s="37"/>
      <c r="AD67" s="38"/>
      <c r="AE67" s="38"/>
      <c r="AF67" s="38"/>
      <c r="AG67" s="38"/>
      <c r="AH67" s="38"/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73" t="s">
        <v>201</v>
      </c>
      <c r="BM67" s="88"/>
      <c r="BN67" s="88"/>
      <c r="BO67" s="89"/>
      <c r="BP67" s="82"/>
      <c r="BQ67" s="82" t="e">
        <f>SUM(BQ60:BQ65)</f>
        <v>#REF!</v>
      </c>
      <c r="BR67" s="38"/>
      <c r="BS67" s="13">
        <v>2</v>
      </c>
      <c r="BT67" s="17">
        <v>200</v>
      </c>
      <c r="BU67" s="17">
        <v>500</v>
      </c>
      <c r="BV67" s="18">
        <v>0.72</v>
      </c>
      <c r="BW67" s="18">
        <v>1.67</v>
      </c>
      <c r="BX67" s="18" t="e">
        <f>IF(AND(BX63&gt;BT67,BX63&lt;=BU67),(BW67-BV67)/(BU67-BT67)*(BX63-BT67)+BV67,0)</f>
        <v>#REF!</v>
      </c>
      <c r="BY67" s="18" t="e">
        <f>IF(AND(BY63&gt;BU67,BY63&lt;=BV67),(BX67-BW67)/(BV67-BU67)*(BY63-BU67)+BW67,0)</f>
        <v>#REF!</v>
      </c>
      <c r="BZ67" s="38"/>
      <c r="CA67" s="38"/>
      <c r="CB67" s="18" t="e">
        <f>IF(AND(CB63&gt;BX67,CB63&lt;=BY67),(CA67-BZ67)/(BY67-BX67)*(CB63-BX67)+BZ67,0)</f>
        <v>#REF!</v>
      </c>
      <c r="CC67" s="38"/>
      <c r="CD67" s="38"/>
      <c r="CE67" s="38"/>
      <c r="CF67" s="38"/>
      <c r="CG67" s="38"/>
      <c r="CH67" s="38"/>
      <c r="CI67" s="38"/>
      <c r="CJ67" s="13">
        <v>4</v>
      </c>
      <c r="CK67" s="17">
        <v>100000</v>
      </c>
      <c r="CL67" s="20">
        <v>500000</v>
      </c>
      <c r="CM67" s="18">
        <v>7</v>
      </c>
      <c r="CN67" s="18">
        <v>9</v>
      </c>
      <c r="CO67" s="18">
        <f>IF(AND(CO61&gt;CK67,CO61&lt;=CL67),(CN67-CM67)/(CL67-CK67)*(CO61-CK67)+CM67,0)</f>
        <v>0</v>
      </c>
      <c r="CP67" s="19">
        <f>IF(AND(CP61&gt;CK67,CP61&lt;=CL67),(CN67-CM67)/(CL67-CK67)*(CP61-CK67)+CM67,0)</f>
        <v>0</v>
      </c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127" t="s">
        <v>179</v>
      </c>
      <c r="DG67" s="17">
        <v>50000</v>
      </c>
      <c r="DH67" s="17">
        <v>15</v>
      </c>
      <c r="DI67" s="133">
        <v>60000</v>
      </c>
      <c r="DJ67" s="156">
        <f>DH67+(DI67-DG67)*(DH68-DH67)/(DG68-DG67)</f>
        <v>16</v>
      </c>
    </row>
    <row r="68" spans="1:114">
      <c r="A68" s="37"/>
      <c r="B68" s="38"/>
      <c r="C68" s="38"/>
      <c r="D68" s="38"/>
      <c r="E68" s="38"/>
      <c r="F68" s="38"/>
      <c r="G68" s="38"/>
      <c r="H68" s="37"/>
      <c r="I68" s="38"/>
      <c r="J68" s="38"/>
      <c r="K68" s="38"/>
      <c r="L68" s="38"/>
      <c r="M68" s="38"/>
      <c r="N68" s="38"/>
      <c r="O68" s="37"/>
      <c r="P68" s="38"/>
      <c r="Q68" s="38"/>
      <c r="R68" s="38"/>
      <c r="S68" s="38"/>
      <c r="T68" s="38"/>
      <c r="U68" s="38"/>
      <c r="V68" s="38"/>
      <c r="W68" s="37"/>
      <c r="X68" s="38"/>
      <c r="Y68" s="38"/>
      <c r="Z68" s="38"/>
      <c r="AA68" s="38"/>
      <c r="AB68" s="38"/>
      <c r="AC68" s="37"/>
      <c r="AD68" s="38"/>
      <c r="AE68" s="38"/>
      <c r="AF68" s="38"/>
      <c r="AG68" s="38"/>
      <c r="AH68" s="38"/>
      <c r="AI68" s="37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73" t="s">
        <v>125</v>
      </c>
      <c r="BM68" s="88"/>
      <c r="BN68" s="88"/>
      <c r="BO68" s="89"/>
      <c r="BP68" s="82">
        <v>0.8</v>
      </c>
      <c r="BQ68" s="82" t="e">
        <f>BQ67*(BP68-1)</f>
        <v>#REF!</v>
      </c>
      <c r="BR68" s="38"/>
      <c r="BS68" s="13">
        <v>3</v>
      </c>
      <c r="BT68" s="17">
        <v>500</v>
      </c>
      <c r="BU68" s="17">
        <v>1000</v>
      </c>
      <c r="BV68" s="18">
        <v>1.67</v>
      </c>
      <c r="BW68" s="18">
        <v>3.1</v>
      </c>
      <c r="BX68" s="18" t="e">
        <f>IF(AND(BX63&gt;BT68,BX63&lt;=BU68),(BW68-BV68)/(BU68-BT68)*(BX63-BT68)+BV68,0)</f>
        <v>#REF!</v>
      </c>
      <c r="BY68" s="18" t="e">
        <f>IF(AND(BY63&gt;BU68,BY63&lt;=BV68),(BX68-BW68)/(BV68-BU68)*(BY63-BU68)+BW68,0)</f>
        <v>#REF!</v>
      </c>
      <c r="BZ68" s="38"/>
      <c r="CA68" s="38"/>
      <c r="CB68" s="18" t="e">
        <f>IF(AND(CB63&gt;BX68,CB63&lt;=BY68),(CA68-BZ68)/(BY68-BX68)*(CB63-BX68)+BZ68,0)</f>
        <v>#REF!</v>
      </c>
      <c r="CC68" s="38"/>
      <c r="CD68" s="38"/>
      <c r="CE68" s="38"/>
      <c r="CF68" s="38"/>
      <c r="CG68" s="38"/>
      <c r="CH68" s="38"/>
      <c r="CI68" s="38"/>
      <c r="CJ68" s="13">
        <v>5</v>
      </c>
      <c r="CK68" s="20">
        <v>500000</v>
      </c>
      <c r="CL68" s="17">
        <v>1000000</v>
      </c>
      <c r="CM68" s="21">
        <v>9</v>
      </c>
      <c r="CN68" s="21">
        <v>13</v>
      </c>
      <c r="CO68" s="18">
        <f>IF(AND(CO61&gt;CK68,CO61&lt;=CL68),(CN68-CM68)/(CL68-CK68)*(CO61-CK68)+CM68,0)</f>
        <v>0</v>
      </c>
      <c r="CP68" s="19">
        <f>IF(AND(CP61&gt;CK68,CP61&lt;=CL68),(CN68-CM68)/(CL68-CK68)*(CP61-CK68)+CM68,0)</f>
        <v>0</v>
      </c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127" t="s">
        <v>181</v>
      </c>
      <c r="DG68" s="17">
        <v>100000</v>
      </c>
      <c r="DH68" s="17">
        <v>20</v>
      </c>
      <c r="DI68" s="133">
        <v>400000</v>
      </c>
      <c r="DJ68" s="156">
        <f>DH68+(DI68-DG68)*(DH69-DH68)/(DG69-DG68)</f>
        <v>23.75</v>
      </c>
    </row>
    <row r="69" spans="1:114">
      <c r="A69" s="37"/>
      <c r="B69" s="38"/>
      <c r="C69" s="38"/>
      <c r="D69" s="38"/>
      <c r="E69" s="38"/>
      <c r="F69" s="38"/>
      <c r="G69" s="38"/>
      <c r="H69" s="37"/>
      <c r="I69" s="38"/>
      <c r="J69" s="38"/>
      <c r="K69" s="38"/>
      <c r="L69" s="38"/>
      <c r="M69" s="38"/>
      <c r="N69" s="38"/>
      <c r="O69" s="37"/>
      <c r="P69" s="38"/>
      <c r="Q69" s="38"/>
      <c r="R69" s="38"/>
      <c r="S69" s="38"/>
      <c r="T69" s="38"/>
      <c r="U69" s="38"/>
      <c r="V69" s="38"/>
      <c r="W69" s="37"/>
      <c r="X69" s="38"/>
      <c r="Y69" s="38"/>
      <c r="Z69" s="38"/>
      <c r="AA69" s="38"/>
      <c r="AB69" s="38"/>
      <c r="AC69" s="37"/>
      <c r="AD69" s="38"/>
      <c r="AE69" s="38"/>
      <c r="AF69" s="38"/>
      <c r="AG69" s="38"/>
      <c r="AH69" s="38"/>
      <c r="AI69" s="37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73" t="s">
        <v>127</v>
      </c>
      <c r="BM69" s="88"/>
      <c r="BN69" s="88"/>
      <c r="BO69" s="89"/>
      <c r="BP69" s="82">
        <v>1.2</v>
      </c>
      <c r="BQ69" s="82" t="e">
        <f>(BQ67+BQ68)*(BP69-1)</f>
        <v>#REF!</v>
      </c>
      <c r="BR69" s="38"/>
      <c r="BS69" s="13">
        <v>4</v>
      </c>
      <c r="BT69" s="17">
        <v>1000</v>
      </c>
      <c r="BU69" s="17">
        <v>3000</v>
      </c>
      <c r="BV69" s="18">
        <v>3.1</v>
      </c>
      <c r="BW69" s="21">
        <v>8.31</v>
      </c>
      <c r="BX69" s="18" t="e">
        <f>IF(AND(BX63&gt;BT69,BX63&lt;=BU69),(BW69-BV69)/(BU69-BT69)*(BX63-BT69)+BV69,0)</f>
        <v>#REF!</v>
      </c>
      <c r="BY69" s="18" t="e">
        <f>IF(AND(BY63&gt;BQ69,BY63&lt;=BR69),(BT69-BS69)/(BR69-BQ69)*(BY63-BQ69)+BS69,0)</f>
        <v>#REF!</v>
      </c>
      <c r="BZ69" s="38"/>
      <c r="CA69" s="38"/>
      <c r="CB69" s="18" t="e">
        <f>IF(AND(CB63&gt;BT69,CB63&lt;=BU69),(BW69-BV69)/(BU69-BT69)*(CB63-BT69)+BV69,0)</f>
        <v>#REF!</v>
      </c>
      <c r="CC69" s="38"/>
      <c r="CD69" s="38"/>
      <c r="CE69" s="38"/>
      <c r="CF69" s="38"/>
      <c r="CG69" s="38"/>
      <c r="CH69" s="38"/>
      <c r="CI69" s="38"/>
      <c r="CJ69" s="13">
        <v>6</v>
      </c>
      <c r="CK69" s="17">
        <v>1000000</v>
      </c>
      <c r="CL69" s="15" t="s">
        <v>154</v>
      </c>
      <c r="CM69" s="18">
        <v>13</v>
      </c>
      <c r="CN69" s="15" t="s">
        <v>154</v>
      </c>
      <c r="CO69" s="18">
        <v>0</v>
      </c>
      <c r="CP69" s="19">
        <f>IF(AND(CP61&gt;CK69,CP61&lt;=CL69),(CN69-CM69)/(CL69-CK69)*(CP61-CK69)+CM69,0)</f>
        <v>0</v>
      </c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127" t="s">
        <v>183</v>
      </c>
      <c r="DG69" s="17">
        <v>500000</v>
      </c>
      <c r="DH69" s="17">
        <v>25</v>
      </c>
      <c r="DI69" s="133">
        <v>500000</v>
      </c>
      <c r="DJ69" s="19">
        <v>25</v>
      </c>
    </row>
    <row r="70" spans="1:114">
      <c r="A70" s="37"/>
      <c r="B70" s="38"/>
      <c r="C70" s="38"/>
      <c r="D70" s="38"/>
      <c r="E70" s="38"/>
      <c r="F70" s="38"/>
      <c r="G70" s="38"/>
      <c r="H70" s="37"/>
      <c r="I70" s="38"/>
      <c r="J70" s="38"/>
      <c r="K70" s="38"/>
      <c r="L70" s="38"/>
      <c r="M70" s="38"/>
      <c r="N70" s="38"/>
      <c r="O70" s="37"/>
      <c r="P70" s="38"/>
      <c r="Q70" s="38"/>
      <c r="R70" s="38"/>
      <c r="S70" s="38"/>
      <c r="T70" s="38"/>
      <c r="U70" s="38"/>
      <c r="V70" s="38"/>
      <c r="W70" s="37"/>
      <c r="X70" s="38"/>
      <c r="Y70" s="38"/>
      <c r="Z70" s="38"/>
      <c r="AA70" s="38"/>
      <c r="AB70" s="38"/>
      <c r="AC70" s="37"/>
      <c r="AD70" s="38"/>
      <c r="AE70" s="38"/>
      <c r="AF70" s="38"/>
      <c r="AG70" s="38"/>
      <c r="AH70" s="38"/>
      <c r="AI70" s="37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71"/>
      <c r="BM70" s="86"/>
      <c r="BN70" s="86"/>
      <c r="BO70" s="86"/>
      <c r="BP70" s="87"/>
      <c r="BQ70" s="82"/>
      <c r="BR70" s="38"/>
      <c r="BS70" s="13">
        <v>5</v>
      </c>
      <c r="BT70" s="20">
        <v>3000</v>
      </c>
      <c r="BU70" s="20">
        <v>5000</v>
      </c>
      <c r="BV70" s="21">
        <v>8.31</v>
      </c>
      <c r="BW70" s="18">
        <v>13.1</v>
      </c>
      <c r="BX70" s="18" t="e">
        <f>IF(AND(BX63&gt;BT70,BX63&lt;=BU70),(BW70-BV70)/(BU70-BT70)*(BX63-BT70)+BV70,0)</f>
        <v>#REF!</v>
      </c>
      <c r="BY70" s="18" t="e">
        <f>IF(AND(BY63&gt;BQ70,BY63&lt;=BR70),(BT70-BS70)/(BR70-BQ70)*(BY63-BQ70)+BS70,0)</f>
        <v>#REF!</v>
      </c>
      <c r="BZ70" s="38"/>
      <c r="CA70" s="38"/>
      <c r="CB70" s="18" t="e">
        <f>IF(AND(CB63&gt;BT70,CB63&lt;=BU70),(BW70-BV70)/(BU70-BT70)*(CB63-BT70)+BV70,0)</f>
        <v>#REF!</v>
      </c>
      <c r="CC70" s="38"/>
      <c r="CD70" s="38"/>
      <c r="CE70" s="38"/>
      <c r="CF70" s="38"/>
      <c r="CG70" s="38"/>
      <c r="CH70" s="38"/>
      <c r="CI70" s="38"/>
      <c r="CJ70" s="13"/>
      <c r="CK70" s="17"/>
      <c r="CL70" s="17"/>
      <c r="CM70" s="18"/>
      <c r="CN70" s="18"/>
      <c r="CO70" s="18"/>
      <c r="CP70" s="19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129" t="s">
        <v>186</v>
      </c>
      <c r="DG70" s="130" t="s">
        <v>187</v>
      </c>
      <c r="DH70" s="32"/>
      <c r="DI70" s="32"/>
      <c r="DJ70" s="158" t="s">
        <v>207</v>
      </c>
    </row>
    <row r="71" spans="1:114">
      <c r="A71" s="37"/>
      <c r="B71" s="38"/>
      <c r="C71" s="38"/>
      <c r="D71" s="38"/>
      <c r="E71" s="38"/>
      <c r="F71" s="38"/>
      <c r="G71" s="38"/>
      <c r="H71" s="37"/>
      <c r="I71" s="38"/>
      <c r="J71" s="38"/>
      <c r="K71" s="38"/>
      <c r="L71" s="38"/>
      <c r="M71" s="38"/>
      <c r="N71" s="38"/>
      <c r="O71" s="37"/>
      <c r="P71" s="38"/>
      <c r="Q71" s="38"/>
      <c r="R71" s="38"/>
      <c r="S71" s="38"/>
      <c r="T71" s="38"/>
      <c r="U71" s="38"/>
      <c r="V71" s="38"/>
      <c r="W71" s="37"/>
      <c r="X71" s="38"/>
      <c r="Y71" s="38"/>
      <c r="Z71" s="38"/>
      <c r="AA71" s="38"/>
      <c r="AB71" s="38"/>
      <c r="AC71" s="37"/>
      <c r="AD71" s="38"/>
      <c r="AE71" s="38"/>
      <c r="AF71" s="38"/>
      <c r="AG71" s="38"/>
      <c r="AH71" s="38"/>
      <c r="AI71" s="37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67" t="s">
        <v>208</v>
      </c>
      <c r="BM71" s="67"/>
      <c r="BN71" s="67"/>
      <c r="BO71" s="67"/>
      <c r="BP71" s="67"/>
      <c r="BQ71" s="90" t="e">
        <f>SUM(BQ67:BQ69)</f>
        <v>#REF!</v>
      </c>
      <c r="BR71" s="38"/>
      <c r="BS71" s="13">
        <v>6</v>
      </c>
      <c r="BT71" s="17">
        <v>5000</v>
      </c>
      <c r="BU71" s="17">
        <v>8000</v>
      </c>
      <c r="BV71" s="18">
        <v>13.1</v>
      </c>
      <c r="BW71" s="18">
        <v>20</v>
      </c>
      <c r="BX71" s="18" t="e">
        <f>IF(AND(BX63&gt;BT71,BX63&lt;=BU71),(BW71-BV71)/(BU71-BT71)*(BX63-BT71)+BV71,0)</f>
        <v>#REF!</v>
      </c>
      <c r="BY71" s="18" t="e">
        <f>IF(AND(BY63&gt;BQ71,BY63&lt;=BR71),(BT71-BS71)/(BR71-BQ71)*(BY63-BQ71)+BS71,0)</f>
        <v>#REF!</v>
      </c>
      <c r="BZ71" s="38"/>
      <c r="CA71" s="38"/>
      <c r="CB71" s="18" t="e">
        <f>IF(AND(CB63&gt;BT71,CB63&lt;=BU71),(BW71-BV71)/(BU71-BT71)*(CB63-BT71)+BV71,0)</f>
        <v>#REF!</v>
      </c>
      <c r="CC71" s="38"/>
      <c r="CD71" s="38"/>
      <c r="CE71" s="38"/>
      <c r="CF71" s="38"/>
      <c r="CG71" s="38"/>
      <c r="CH71" s="38"/>
      <c r="CI71" s="38"/>
      <c r="CJ71" s="13"/>
      <c r="CK71" s="17"/>
      <c r="CL71" s="23" t="s">
        <v>92</v>
      </c>
      <c r="CM71" s="24"/>
      <c r="CN71" s="24"/>
      <c r="CO71" s="25">
        <f>SUM(CO64:CO69)</f>
        <v>0</v>
      </c>
      <c r="CP71" s="26">
        <f>SUM(CP64:CP69)</f>
        <v>0</v>
      </c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</row>
    <row r="72" spans="1:114">
      <c r="A72" s="37"/>
      <c r="B72" s="38"/>
      <c r="C72" s="38"/>
      <c r="D72" s="38"/>
      <c r="E72" s="38"/>
      <c r="F72" s="38"/>
      <c r="G72" s="38"/>
      <c r="H72" s="37"/>
      <c r="I72" s="38"/>
      <c r="J72" s="38"/>
      <c r="K72" s="38"/>
      <c r="L72" s="38"/>
      <c r="M72" s="38"/>
      <c r="N72" s="38"/>
      <c r="O72" s="37"/>
      <c r="P72" s="38"/>
      <c r="Q72" s="38"/>
      <c r="R72" s="38"/>
      <c r="S72" s="38"/>
      <c r="T72" s="38"/>
      <c r="U72" s="38"/>
      <c r="V72" s="38"/>
      <c r="W72" s="37"/>
      <c r="X72" s="38"/>
      <c r="Y72" s="38"/>
      <c r="Z72" s="38"/>
      <c r="AA72" s="38"/>
      <c r="AB72" s="38"/>
      <c r="AC72" s="37"/>
      <c r="AD72" s="38"/>
      <c r="AE72" s="38"/>
      <c r="AF72" s="38"/>
      <c r="AG72" s="38"/>
      <c r="AH72" s="38"/>
      <c r="AI72" s="37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13">
        <v>7</v>
      </c>
      <c r="BT72" s="17">
        <v>8000</v>
      </c>
      <c r="BU72" s="17">
        <v>10000</v>
      </c>
      <c r="BV72" s="18">
        <v>20</v>
      </c>
      <c r="BW72" s="18">
        <v>24.4</v>
      </c>
      <c r="BX72" s="18" t="e">
        <f>IF(AND(BX63&gt;BT72,BX63&lt;=BU72),(BW72-BV72)/(BU72-BT72)*(BX63-BT72)+BV72,0)</f>
        <v>#REF!</v>
      </c>
      <c r="BY72" s="18" t="e">
        <f>IF(AND(BY63&gt;BQ72,BY63&lt;=BR72),(BT72-BS72)/(BR72-BQ72)*(BY63-BQ72)+BS72,0)</f>
        <v>#REF!</v>
      </c>
      <c r="BZ72" s="38"/>
      <c r="CA72" s="38"/>
      <c r="CB72" s="18" t="e">
        <f>IF(AND(CB63&gt;BT72,CB63&lt;=BU72),(BW72-BV72)/(BU72-BT72)*(CB63-BT72)+BV72,0)</f>
        <v>#REF!</v>
      </c>
      <c r="CC72" s="38"/>
      <c r="CD72" s="38"/>
      <c r="CE72" s="38"/>
      <c r="CF72" s="38"/>
      <c r="CG72" s="38"/>
      <c r="CH72" s="38"/>
      <c r="CI72" s="38"/>
      <c r="CJ72" s="13"/>
      <c r="CK72" s="17"/>
      <c r="CL72" s="27" t="s">
        <v>125</v>
      </c>
      <c r="CM72" s="24"/>
      <c r="CN72" s="24"/>
      <c r="CO72" s="28">
        <v>1.1</v>
      </c>
      <c r="CP72" s="28">
        <v>0.8</v>
      </c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</row>
    <row r="73" spans="1:114">
      <c r="A73" s="37"/>
      <c r="B73" s="38"/>
      <c r="C73" s="38"/>
      <c r="D73" s="38"/>
      <c r="E73" s="38"/>
      <c r="F73" s="38"/>
      <c r="G73" s="38"/>
      <c r="H73" s="37"/>
      <c r="I73" s="38"/>
      <c r="J73" s="38"/>
      <c r="K73" s="38"/>
      <c r="L73" s="38"/>
      <c r="M73" s="38"/>
      <c r="N73" s="38"/>
      <c r="O73" s="37"/>
      <c r="P73" s="38"/>
      <c r="Q73" s="38"/>
      <c r="R73" s="38"/>
      <c r="S73" s="38"/>
      <c r="T73" s="38"/>
      <c r="U73" s="38"/>
      <c r="V73" s="38"/>
      <c r="W73" s="37"/>
      <c r="X73" s="38"/>
      <c r="Y73" s="38"/>
      <c r="Z73" s="38"/>
      <c r="AA73" s="38"/>
      <c r="AB73" s="38"/>
      <c r="AC73" s="37"/>
      <c r="AD73" s="38"/>
      <c r="AE73" s="38"/>
      <c r="AF73" s="38"/>
      <c r="AG73" s="38"/>
      <c r="AH73" s="38"/>
      <c r="AI73" s="37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13">
        <v>8</v>
      </c>
      <c r="BT73" s="17">
        <v>10000</v>
      </c>
      <c r="BU73" s="17">
        <v>20000</v>
      </c>
      <c r="BV73" s="18">
        <v>24.4</v>
      </c>
      <c r="BW73" s="18">
        <v>45.2</v>
      </c>
      <c r="BX73" s="18" t="e">
        <f>IF(AND(BX63&gt;BT73,BX63&lt;=BU73),(BW73-BV73)/(BU73-BT73)*(BX63-BT73)+BV73,0)</f>
        <v>#REF!</v>
      </c>
      <c r="BY73" s="18" t="e">
        <f>IF(AND(BY63&gt;BQ73,BY63&lt;=BR73),(BT73-BS73)/(BR73-BQ73)*(BY63-BQ73)+BS73,0)</f>
        <v>#REF!</v>
      </c>
      <c r="BZ73" s="38"/>
      <c r="CA73" s="38"/>
      <c r="CB73" s="18" t="e">
        <f>IF(AND(CB63&gt;BT73,CB63&lt;=BU73),(BW73-BV73)/(BU73-BT73)*(CB63-BT73)+BV73,0)</f>
        <v>#REF!</v>
      </c>
      <c r="CC73" s="38"/>
      <c r="CD73" s="38"/>
      <c r="CE73" s="38"/>
      <c r="CF73" s="38"/>
      <c r="CG73" s="166"/>
      <c r="CH73" s="38"/>
      <c r="CI73" s="38"/>
      <c r="CJ73" s="13"/>
      <c r="CK73" s="17"/>
      <c r="CL73" s="27" t="s">
        <v>163</v>
      </c>
      <c r="CM73" s="24"/>
      <c r="CN73" s="24"/>
      <c r="CO73" s="28">
        <v>1.2</v>
      </c>
      <c r="CP73" s="28">
        <v>1</v>
      </c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</row>
    <row r="74" spans="1:114">
      <c r="A74" s="37"/>
      <c r="B74" s="38"/>
      <c r="C74" s="38"/>
      <c r="D74" s="38"/>
      <c r="E74" s="38"/>
      <c r="F74" s="38"/>
      <c r="G74" s="38"/>
      <c r="H74" s="37"/>
      <c r="I74" s="38"/>
      <c r="J74" s="38"/>
      <c r="K74" s="38"/>
      <c r="L74" s="38"/>
      <c r="M74" s="38"/>
      <c r="N74" s="38"/>
      <c r="O74" s="37"/>
      <c r="P74" s="38"/>
      <c r="Q74" s="38"/>
      <c r="R74" s="38"/>
      <c r="S74" s="38"/>
      <c r="T74" s="38"/>
      <c r="U74" s="38"/>
      <c r="V74" s="38"/>
      <c r="W74" s="37"/>
      <c r="X74" s="38"/>
      <c r="Y74" s="38"/>
      <c r="Z74" s="38"/>
      <c r="AA74" s="38"/>
      <c r="AB74" s="38"/>
      <c r="AC74" s="37"/>
      <c r="AD74" s="38"/>
      <c r="AE74" s="38"/>
      <c r="AF74" s="38"/>
      <c r="AG74" s="38"/>
      <c r="AH74" s="38"/>
      <c r="AI74" s="37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13">
        <v>9</v>
      </c>
      <c r="BT74" s="17">
        <v>20000</v>
      </c>
      <c r="BU74" s="17">
        <v>40000</v>
      </c>
      <c r="BV74" s="18">
        <v>45.2</v>
      </c>
      <c r="BW74" s="18">
        <v>84.4</v>
      </c>
      <c r="BX74" s="18" t="e">
        <f>IF(AND(BX63&gt;BT74,BX63&lt;=BU74),(BW74-BV74)/(BU74-BT74)*(BX63-BT74)+BV74,0)</f>
        <v>#REF!</v>
      </c>
      <c r="BY74" s="18" t="e">
        <f>IF(AND(BY63&gt;BQ74,BY63&lt;=BR74),(BT74-BS74)/(BR74-BQ74)*(BY63-BQ74)+BS74,0)</f>
        <v>#REF!</v>
      </c>
      <c r="BZ74" s="38"/>
      <c r="CA74" s="38"/>
      <c r="CB74" s="18" t="e">
        <f>IF(AND(CB63&gt;BT74,CB63&lt;=BU74),(BW74-BV74)/(BU74-BT74)*(CB63-BT74)+BV74,0)</f>
        <v>#REF!</v>
      </c>
      <c r="CC74" s="38"/>
      <c r="CD74" s="38"/>
      <c r="CE74" s="38"/>
      <c r="CF74" s="38"/>
      <c r="CG74" s="38"/>
      <c r="CH74" s="38"/>
      <c r="CI74" s="38"/>
      <c r="CJ74" s="13"/>
      <c r="CK74" s="17"/>
      <c r="CL74" s="27" t="s">
        <v>192</v>
      </c>
      <c r="CM74" s="24"/>
      <c r="CN74" s="24"/>
      <c r="CO74" s="28">
        <v>1</v>
      </c>
      <c r="CP74" s="28">
        <v>0.85</v>
      </c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</row>
    <row r="75" spans="1:114">
      <c r="A75" s="37"/>
      <c r="B75" s="38"/>
      <c r="C75" s="38"/>
      <c r="D75" s="38"/>
      <c r="E75" s="38"/>
      <c r="F75" s="38"/>
      <c r="G75" s="38"/>
      <c r="H75" s="37"/>
      <c r="I75" s="38"/>
      <c r="J75" s="38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8"/>
      <c r="V75" s="38"/>
      <c r="W75" s="37"/>
      <c r="X75" s="38"/>
      <c r="Y75" s="38"/>
      <c r="Z75" s="38"/>
      <c r="AA75" s="38"/>
      <c r="AB75" s="38"/>
      <c r="AC75" s="37"/>
      <c r="AD75" s="38"/>
      <c r="AE75" s="38"/>
      <c r="AF75" s="38"/>
      <c r="AG75" s="38"/>
      <c r="AH75" s="38"/>
      <c r="AI75" s="37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13">
        <v>10</v>
      </c>
      <c r="BT75" s="17">
        <v>40000</v>
      </c>
      <c r="BU75" s="17">
        <v>60000</v>
      </c>
      <c r="BV75" s="18">
        <v>84.4</v>
      </c>
      <c r="BW75" s="18">
        <v>121.2</v>
      </c>
      <c r="BX75" s="18" t="e">
        <f>IF(AND(BX63&gt;BT75,BX63&lt;=BU75),(BW75-BV75)/(BU75-BT75)*(BX63-BT75)+BV75,0)</f>
        <v>#REF!</v>
      </c>
      <c r="BY75" s="18">
        <f>IF(AND(BY61&gt;BQ75,BY61&lt;=BR75),(BT75-BS75)/(BR75-BQ75)*(BY61-BQ75)+BS75,0)</f>
        <v>0</v>
      </c>
      <c r="BZ75" s="38"/>
      <c r="CA75" s="38"/>
      <c r="CB75" s="18">
        <f>IF(AND(CB61&gt;BT75,CB61&lt;=BU75),(BW75-BV75)/(BU75-BT75)*(CB61-BT75)+BV75,0)</f>
        <v>0</v>
      </c>
      <c r="CC75" s="38"/>
      <c r="CD75" s="38"/>
      <c r="CE75" s="38"/>
      <c r="CF75" s="38"/>
      <c r="CG75" s="38"/>
      <c r="CH75" s="38"/>
      <c r="CI75" s="38"/>
      <c r="CJ75" s="13"/>
      <c r="CK75" s="17"/>
      <c r="CL75" s="30" t="s">
        <v>155</v>
      </c>
      <c r="CM75" s="24"/>
      <c r="CN75" s="24"/>
      <c r="CO75" s="28">
        <v>1</v>
      </c>
      <c r="CP75" s="28">
        <v>1</v>
      </c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</row>
    <row r="76" spans="1:114">
      <c r="A76" s="37"/>
      <c r="B76" s="38"/>
      <c r="C76" s="38"/>
      <c r="D76" s="38"/>
      <c r="E76" s="38"/>
      <c r="F76" s="38"/>
      <c r="G76" s="38"/>
      <c r="H76" s="37"/>
      <c r="I76" s="38"/>
      <c r="J76" s="38"/>
      <c r="K76" s="38"/>
      <c r="L76" s="38"/>
      <c r="M76" s="38"/>
      <c r="N76" s="38"/>
      <c r="O76" s="37"/>
      <c r="P76" s="38"/>
      <c r="Q76" s="38"/>
      <c r="R76" s="38"/>
      <c r="S76" s="38"/>
      <c r="T76" s="38"/>
      <c r="U76" s="38"/>
      <c r="V76" s="38"/>
      <c r="W76" s="37"/>
      <c r="X76" s="38"/>
      <c r="Y76" s="38"/>
      <c r="Z76" s="38"/>
      <c r="AA76" s="38"/>
      <c r="AB76" s="38"/>
      <c r="AC76" s="37"/>
      <c r="AD76" s="38"/>
      <c r="AE76" s="38"/>
      <c r="AF76" s="38"/>
      <c r="AG76" s="38"/>
      <c r="AH76" s="38"/>
      <c r="AI76" s="37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13">
        <v>11</v>
      </c>
      <c r="BT76" s="17">
        <v>60000</v>
      </c>
      <c r="BU76" s="17">
        <v>80000</v>
      </c>
      <c r="BV76" s="18">
        <v>121.2</v>
      </c>
      <c r="BW76" s="18">
        <v>157</v>
      </c>
      <c r="BX76" s="18" t="e">
        <f>IF(AND(BX63&gt;BT76,BX63&lt;=BU76),(BW76-BV76)/(BU76-BT76)*(BX63-BT76)+BV76,0)</f>
        <v>#REF!</v>
      </c>
      <c r="BY76" s="18" t="e">
        <f>IF(AND(BY63&gt;BQ76,BY63&lt;=BR76),(BT76-BS76)/(BR76-BQ76)*(BY63-BQ76)+BS76,0)</f>
        <v>#REF!</v>
      </c>
      <c r="BZ76" s="38"/>
      <c r="CA76" s="38"/>
      <c r="CB76" s="18" t="e">
        <f>IF(AND(CB63&gt;BT76,CB63&lt;=BU76),(BW76-BV76)/(BU76-BT76)*(CB63-BT76)+BV76,0)</f>
        <v>#REF!</v>
      </c>
      <c r="CC76" s="38"/>
      <c r="CD76" s="38"/>
      <c r="CE76" s="38"/>
      <c r="CF76" s="38"/>
      <c r="CG76" s="38"/>
      <c r="CH76" s="38"/>
      <c r="CI76" s="38"/>
      <c r="CJ76" s="31"/>
      <c r="CK76" s="32"/>
      <c r="CL76" s="33" t="s">
        <v>159</v>
      </c>
      <c r="CM76" s="34"/>
      <c r="CN76" s="34"/>
      <c r="CO76" s="35">
        <v>0</v>
      </c>
      <c r="CP76" s="36">
        <v>0</v>
      </c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</row>
    <row r="77" spans="1:114">
      <c r="A77" s="37"/>
      <c r="B77" s="38"/>
      <c r="C77" s="38"/>
      <c r="D77" s="38"/>
      <c r="E77" s="38"/>
      <c r="F77" s="38"/>
      <c r="G77" s="38"/>
      <c r="H77" s="37"/>
      <c r="I77" s="38"/>
      <c r="J77" s="38"/>
      <c r="K77" s="38"/>
      <c r="L77" s="38"/>
      <c r="M77" s="38"/>
      <c r="N77" s="38"/>
      <c r="O77" s="37"/>
      <c r="P77" s="38"/>
      <c r="Q77" s="38"/>
      <c r="R77" s="38"/>
      <c r="S77" s="38"/>
      <c r="T77" s="38"/>
      <c r="U77" s="38"/>
      <c r="V77" s="38"/>
      <c r="W77" s="37"/>
      <c r="X77" s="38"/>
      <c r="Y77" s="38"/>
      <c r="Z77" s="38"/>
      <c r="AA77" s="38"/>
      <c r="AB77" s="38"/>
      <c r="AC77" s="37"/>
      <c r="AD77" s="38"/>
      <c r="AE77" s="38"/>
      <c r="AF77" s="38"/>
      <c r="AG77" s="38"/>
      <c r="AH77" s="38"/>
      <c r="AI77" s="37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13">
        <v>12</v>
      </c>
      <c r="BT77" s="17">
        <v>80000</v>
      </c>
      <c r="BU77" s="17">
        <v>100000</v>
      </c>
      <c r="BV77" s="18">
        <v>157</v>
      </c>
      <c r="BW77" s="18">
        <v>191</v>
      </c>
      <c r="BX77" s="18" t="e">
        <f>IF(AND(BX63&gt;BT77,BX63&lt;=BU77),(BW77-BV77)/(BU77-BT77)*(BX63-BT77)+BV77,0)</f>
        <v>#REF!</v>
      </c>
      <c r="BY77" s="18" t="e">
        <f>IF(AND(BY63&gt;BQ77,BY63&lt;=BR77),(BT77-BS77)/(BR77-BQ77)*(BY63-BQ77)+BS77,0)</f>
        <v>#REF!</v>
      </c>
      <c r="BZ77" s="38"/>
      <c r="CA77" s="38"/>
      <c r="CB77" s="18" t="e">
        <f>IF(AND(CB63&gt;BT77,CB63&lt;=BU77),(BW77-BV77)/(BU77-BT77)*(CB63-BT77)+BV77,0)</f>
        <v>#REF!</v>
      </c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1" t="s">
        <v>209</v>
      </c>
      <c r="DF77" s="1"/>
      <c r="DG77" s="1"/>
      <c r="DH77" s="1"/>
      <c r="DI77" s="1"/>
      <c r="DJ77" s="1"/>
    </row>
    <row r="78" spans="1:114">
      <c r="A78" s="37"/>
      <c r="B78" s="38"/>
      <c r="C78" s="38"/>
      <c r="D78" s="38"/>
      <c r="E78" s="38"/>
      <c r="F78" s="38"/>
      <c r="G78" s="38"/>
      <c r="H78" s="37"/>
      <c r="I78" s="38"/>
      <c r="J78" s="38"/>
      <c r="K78" s="38"/>
      <c r="L78" s="38"/>
      <c r="M78" s="38"/>
      <c r="N78" s="38"/>
      <c r="O78" s="37"/>
      <c r="P78" s="38"/>
      <c r="Q78" s="38"/>
      <c r="R78" s="38"/>
      <c r="S78" s="38"/>
      <c r="T78" s="38"/>
      <c r="U78" s="38"/>
      <c r="V78" s="38"/>
      <c r="W78" s="37"/>
      <c r="X78" s="38"/>
      <c r="Y78" s="38"/>
      <c r="Z78" s="38"/>
      <c r="AA78" s="38"/>
      <c r="AB78" s="38"/>
      <c r="AC78" s="37"/>
      <c r="AD78" s="38"/>
      <c r="AE78" s="38"/>
      <c r="AF78" s="38"/>
      <c r="AG78" s="38"/>
      <c r="AH78" s="38"/>
      <c r="AI78" s="37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13">
        <v>13</v>
      </c>
      <c r="BT78" s="17">
        <v>100000</v>
      </c>
      <c r="BU78" s="17">
        <v>200000</v>
      </c>
      <c r="BV78" s="18">
        <v>191</v>
      </c>
      <c r="BW78" s="18">
        <v>334</v>
      </c>
      <c r="BX78" s="18" t="e">
        <f>IF(AND(BX63&gt;BT78,BX63&lt;=BU78),(BW78-BV78)/(BU78-BT78)*(BX63-BT78)+BV78,0)</f>
        <v>#REF!</v>
      </c>
      <c r="BY78" s="18" t="e">
        <f>IF(AND(BY63&gt;BQ78,BY63&lt;=BR78),(BT78-BS78)/(BR78-BQ78)*(BY63-BQ78)+BS78,0)</f>
        <v>#REF!</v>
      </c>
      <c r="BZ78" s="38"/>
      <c r="CA78" s="38"/>
      <c r="CB78" s="18" t="e">
        <f>IF(AND(CB63&gt;BT78,CB63&lt;=BU78),(BW78-BV78)/(BU78-BT78)*(CB63-BT78)+BV78,0)</f>
        <v>#REF!</v>
      </c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74" t="s">
        <v>210</v>
      </c>
      <c r="DF78" s="74"/>
      <c r="DG78" s="74"/>
      <c r="DH78" s="74"/>
      <c r="DI78" s="74"/>
      <c r="DJ78" s="74"/>
    </row>
    <row r="79" spans="1:114">
      <c r="A79" s="37"/>
      <c r="B79" s="38"/>
      <c r="C79" s="38"/>
      <c r="D79" s="38"/>
      <c r="E79" s="38"/>
      <c r="F79" s="38"/>
      <c r="G79" s="38"/>
      <c r="H79" s="37"/>
      <c r="I79" s="38"/>
      <c r="J79" s="38"/>
      <c r="K79" s="38"/>
      <c r="L79" s="38"/>
      <c r="M79" s="38"/>
      <c r="N79" s="38"/>
      <c r="O79" s="37"/>
      <c r="P79" s="38"/>
      <c r="Q79" s="38"/>
      <c r="R79" s="38"/>
      <c r="S79" s="38"/>
      <c r="T79" s="38"/>
      <c r="U79" s="38"/>
      <c r="V79" s="38"/>
      <c r="W79" s="37"/>
      <c r="X79" s="38"/>
      <c r="Y79" s="38"/>
      <c r="Z79" s="38"/>
      <c r="AA79" s="38"/>
      <c r="AB79" s="38"/>
      <c r="AC79" s="37"/>
      <c r="AD79" s="38"/>
      <c r="AE79" s="38"/>
      <c r="AF79" s="38"/>
      <c r="AG79" s="38"/>
      <c r="AH79" s="38"/>
      <c r="AI79" s="37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13">
        <v>14</v>
      </c>
      <c r="BT79" s="17">
        <v>200000</v>
      </c>
      <c r="BU79" s="17">
        <v>400000</v>
      </c>
      <c r="BV79" s="18">
        <v>334</v>
      </c>
      <c r="BW79" s="18">
        <v>620</v>
      </c>
      <c r="BX79" s="18" t="e">
        <f>IF(AND(BX63&gt;BT79,BX63&lt;=BU79),(BW79-BV79)/(BU79-BT79)*(BX63-BT79)+BV79,0)</f>
        <v>#REF!</v>
      </c>
      <c r="BY79" s="18">
        <f>IF(AND(BY59&gt;BQ79,BY59&lt;=BR79),(BT79-BS79)/(BR79-BQ79)*(BY59-BQ79)+BS79,0)</f>
        <v>0</v>
      </c>
      <c r="BZ79" s="38"/>
      <c r="CA79" s="38"/>
      <c r="CB79" s="18">
        <f>IF(AND(CB59&gt;BT79,CB59&lt;=BU79),(BW79-BV79)/(BU79-BT79)*(CB59-BT79)+BV79,0)</f>
        <v>0</v>
      </c>
      <c r="CC79" s="38"/>
      <c r="CD79" s="38"/>
      <c r="CE79" s="38"/>
      <c r="CF79" s="38"/>
      <c r="CG79" s="38"/>
      <c r="CH79" s="38"/>
      <c r="CI79" s="38"/>
      <c r="CJ79" s="37" t="s">
        <v>211</v>
      </c>
      <c r="CK79" s="37"/>
      <c r="CL79" s="37"/>
      <c r="CM79" s="37"/>
      <c r="CN79" s="37"/>
      <c r="CO79" s="37"/>
      <c r="CP79" s="37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4" t="s">
        <v>212</v>
      </c>
      <c r="DF79" s="5"/>
      <c r="DG79" s="5"/>
      <c r="DH79" s="5"/>
      <c r="DI79" s="5"/>
      <c r="DJ79" s="187" t="e">
        <f>#REF!</f>
        <v>#REF!</v>
      </c>
    </row>
    <row r="80" spans="1:114">
      <c r="A80" s="37"/>
      <c r="B80" s="38"/>
      <c r="C80" s="38"/>
      <c r="D80" s="38"/>
      <c r="E80" s="38"/>
      <c r="F80" s="38"/>
      <c r="G80" s="38"/>
      <c r="H80" s="37"/>
      <c r="I80" s="38"/>
      <c r="J80" s="38"/>
      <c r="K80" s="38"/>
      <c r="L80" s="38"/>
      <c r="M80" s="38"/>
      <c r="N80" s="38"/>
      <c r="O80" s="37"/>
      <c r="P80" s="38"/>
      <c r="Q80" s="38"/>
      <c r="R80" s="38"/>
      <c r="S80" s="38"/>
      <c r="T80" s="38"/>
      <c r="U80" s="38"/>
      <c r="V80" s="38"/>
      <c r="W80" s="37"/>
      <c r="X80" s="38"/>
      <c r="Y80" s="38"/>
      <c r="Z80" s="38"/>
      <c r="AA80" s="38"/>
      <c r="AB80" s="38"/>
      <c r="AC80" s="37"/>
      <c r="AD80" s="38"/>
      <c r="AE80" s="38"/>
      <c r="AF80" s="38"/>
      <c r="AG80" s="38"/>
      <c r="AH80" s="38"/>
      <c r="AI80" s="37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13">
        <v>15</v>
      </c>
      <c r="BT80" s="17">
        <v>400000</v>
      </c>
      <c r="BU80" s="17">
        <v>600000</v>
      </c>
      <c r="BV80" s="18">
        <v>620</v>
      </c>
      <c r="BW80" s="18">
        <v>834</v>
      </c>
      <c r="BX80" s="18" t="e">
        <f>IF(AND(BX63&gt;BT80,BX63&lt;=BU80),(BW80-BV80)/(BU80-BT80)*(BX63-BT80)+BV80,0)</f>
        <v>#REF!</v>
      </c>
      <c r="BY80" s="18" t="e">
        <f>IF(AND(BY63&gt;BQ80,BY63&lt;=BR80),(BT80-BS80)/(BR80-BQ80)*(BY63-BQ80)+BS80,0)</f>
        <v>#REF!</v>
      </c>
      <c r="BZ80" s="163"/>
      <c r="CA80" s="39"/>
      <c r="CB80" s="18" t="e">
        <f>IF(AND(CB63&gt;BT80,CB63&lt;=BU80),(BW80-BV80)/(BU80-BT80)*(CB63-BT80)+BV80,0)</f>
        <v>#REF!</v>
      </c>
      <c r="CC80" s="38"/>
      <c r="CD80" s="38"/>
      <c r="CE80" s="38"/>
      <c r="CF80" s="38"/>
      <c r="CG80" s="38"/>
      <c r="CH80" s="38"/>
      <c r="CI80" s="38"/>
      <c r="CJ80" s="114" t="s">
        <v>134</v>
      </c>
      <c r="CK80" s="114"/>
      <c r="CL80" s="114"/>
      <c r="CM80" s="114"/>
      <c r="CN80" s="114"/>
      <c r="CO80" s="114"/>
      <c r="CP80" s="114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7" t="s">
        <v>213</v>
      </c>
      <c r="DF80" s="8"/>
      <c r="DG80" s="8"/>
      <c r="DH80" s="8"/>
      <c r="DI80" s="8"/>
      <c r="DJ80" s="44" t="e">
        <f>DJ90*DJ91*DJ92</f>
        <v>#REF!</v>
      </c>
    </row>
    <row r="81" spans="1:114">
      <c r="A81" s="37"/>
      <c r="B81" s="38"/>
      <c r="C81" s="38"/>
      <c r="D81" s="38"/>
      <c r="E81" s="38"/>
      <c r="F81" s="38"/>
      <c r="G81" s="38"/>
      <c r="H81" s="37"/>
      <c r="I81" s="38"/>
      <c r="J81" s="38"/>
      <c r="K81" s="38"/>
      <c r="L81" s="38"/>
      <c r="M81" s="38"/>
      <c r="N81" s="38"/>
      <c r="O81" s="37"/>
      <c r="P81" s="38"/>
      <c r="Q81" s="38"/>
      <c r="R81" s="38"/>
      <c r="S81" s="38"/>
      <c r="T81" s="38"/>
      <c r="U81" s="38"/>
      <c r="V81" s="38"/>
      <c r="W81" s="37"/>
      <c r="X81" s="38"/>
      <c r="Y81" s="38"/>
      <c r="Z81" s="38"/>
      <c r="AA81" s="38"/>
      <c r="AB81" s="38"/>
      <c r="AC81" s="37"/>
      <c r="AD81" s="38"/>
      <c r="AE81" s="38"/>
      <c r="AF81" s="38"/>
      <c r="AG81" s="38"/>
      <c r="AH81" s="38"/>
      <c r="AI81" s="37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13">
        <v>16</v>
      </c>
      <c r="BT81" s="17">
        <v>600000</v>
      </c>
      <c r="BU81" s="17">
        <v>800000</v>
      </c>
      <c r="BV81" s="18">
        <v>834</v>
      </c>
      <c r="BW81" s="18">
        <v>1000</v>
      </c>
      <c r="BX81" s="18" t="e">
        <f>IF(AND(BX63&gt;BT81,BX63&lt;=BU81),(BW81-BV81)/(BU81-BT81)*(BX63-BT81)+BV81,0)</f>
        <v>#REF!</v>
      </c>
      <c r="BY81" s="18">
        <f>IF(AND(BY61&gt;BQ81,BY61&lt;=BR81),(BT81-BS81)/(BR81-BQ81)*(BY61-BQ81)+BS81,0)</f>
        <v>0</v>
      </c>
      <c r="BZ81" s="38"/>
      <c r="CA81" s="164"/>
      <c r="CB81" s="18">
        <f>IF(AND(CB61&gt;BT81,CB61&lt;=BU81),(BW81-BV81)/(BU81-BT81)*(CB61-BT81)+BV81,0)</f>
        <v>0</v>
      </c>
      <c r="CC81" s="38"/>
      <c r="CD81" s="38"/>
      <c r="CE81" s="38"/>
      <c r="CF81" s="38"/>
      <c r="CG81" s="38"/>
      <c r="CH81" s="38"/>
      <c r="CI81" s="38"/>
      <c r="CJ81" s="58" t="s">
        <v>57</v>
      </c>
      <c r="CK81" s="59"/>
      <c r="CL81" s="59"/>
      <c r="CM81" s="59"/>
      <c r="CN81" s="60"/>
      <c r="CO81" s="61">
        <f>CO61</f>
        <v>0</v>
      </c>
      <c r="CP81" s="62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13" t="s">
        <v>2</v>
      </c>
      <c r="DF81" s="14" t="s">
        <v>214</v>
      </c>
      <c r="DG81" s="14"/>
      <c r="DH81" s="14" t="s">
        <v>215</v>
      </c>
      <c r="DI81" s="14"/>
      <c r="DJ81" s="16" t="s">
        <v>216</v>
      </c>
    </row>
    <row r="82" spans="1:114">
      <c r="A82" s="37"/>
      <c r="B82" s="38"/>
      <c r="C82" s="38"/>
      <c r="D82" s="38"/>
      <c r="E82" s="38"/>
      <c r="F82" s="38"/>
      <c r="G82" s="38"/>
      <c r="H82" s="37"/>
      <c r="I82" s="38"/>
      <c r="J82" s="38"/>
      <c r="K82" s="38"/>
      <c r="L82" s="38"/>
      <c r="M82" s="38"/>
      <c r="N82" s="38"/>
      <c r="O82" s="37"/>
      <c r="P82" s="38"/>
      <c r="Q82" s="38"/>
      <c r="R82" s="38"/>
      <c r="S82" s="38"/>
      <c r="T82" s="38"/>
      <c r="U82" s="38"/>
      <c r="V82" s="38"/>
      <c r="W82" s="37"/>
      <c r="X82" s="38"/>
      <c r="Y82" s="38"/>
      <c r="Z82" s="38"/>
      <c r="AA82" s="38"/>
      <c r="AB82" s="38"/>
      <c r="AC82" s="37"/>
      <c r="AD82" s="38"/>
      <c r="AE82" s="38"/>
      <c r="AF82" s="38"/>
      <c r="AG82" s="38"/>
      <c r="AH82" s="38"/>
      <c r="AI82" s="37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13">
        <v>17</v>
      </c>
      <c r="BT82" s="17">
        <v>800000</v>
      </c>
      <c r="BU82" s="17">
        <v>1000000</v>
      </c>
      <c r="BV82" s="18">
        <v>1000</v>
      </c>
      <c r="BW82" s="18">
        <v>1130</v>
      </c>
      <c r="BX82" s="18" t="e">
        <f>IF(AND(BX63&gt;BT82,BX63&lt;=BU82),(BW82-BV82)/(BU82-BT82)*(BX63-BT82)+BV82,0)</f>
        <v>#REF!</v>
      </c>
      <c r="BY82" s="18">
        <f>IF(AND(BY62&gt;BQ82,BY62&lt;=BR82),(BT82-BS82)/(BR82-BQ82)*(BY62-BQ82)+BS82,0)</f>
        <v>0</v>
      </c>
      <c r="BZ82" s="38"/>
      <c r="CA82" s="38"/>
      <c r="CB82" s="18">
        <f>IF(AND(CB62&gt;BT82,CB62&lt;=BU82),(BW82-BV82)/(BU82-BT82)*(CB62-BT82)+BV82,0)</f>
        <v>0</v>
      </c>
      <c r="CC82" s="38"/>
      <c r="CD82" s="38"/>
      <c r="CE82" s="38"/>
      <c r="CF82" s="38"/>
      <c r="CG82" s="38"/>
      <c r="CH82" s="38"/>
      <c r="CI82" s="38"/>
      <c r="CJ82" s="7" t="s">
        <v>137</v>
      </c>
      <c r="CK82" s="8"/>
      <c r="CL82" s="8"/>
      <c r="CM82" s="8"/>
      <c r="CN82" s="8"/>
      <c r="CO82" s="11">
        <f>CO91*CO92*CO93*CO94*CO95*(1-CO96)</f>
        <v>0</v>
      </c>
      <c r="CP82" s="12">
        <f>CP91*CP92*CP93*CP94*CP95*(1-CP96)</f>
        <v>0</v>
      </c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13">
        <v>1</v>
      </c>
      <c r="DF82" s="17">
        <v>0</v>
      </c>
      <c r="DG82" s="17">
        <v>1000</v>
      </c>
      <c r="DH82" s="18">
        <v>1.5</v>
      </c>
      <c r="DI82" s="45">
        <v>2.5</v>
      </c>
      <c r="DJ82" s="19" t="e">
        <f>IF(AND(DJ79&gt;DF82,DJ79&lt;=DG82),(DI82-DH82)/(DG82-DF82)*(DJ79-DF82)+DH82,0)</f>
        <v>#REF!</v>
      </c>
    </row>
    <row r="83" spans="1:114">
      <c r="A83" s="37"/>
      <c r="B83" s="38"/>
      <c r="C83" s="38"/>
      <c r="D83" s="38"/>
      <c r="E83" s="38"/>
      <c r="F83" s="38"/>
      <c r="G83" s="38"/>
      <c r="H83" s="37"/>
      <c r="I83" s="38"/>
      <c r="J83" s="38"/>
      <c r="K83" s="38"/>
      <c r="L83" s="38"/>
      <c r="M83" s="38"/>
      <c r="N83" s="38"/>
      <c r="O83" s="37"/>
      <c r="P83" s="38"/>
      <c r="Q83" s="38"/>
      <c r="R83" s="38"/>
      <c r="S83" s="38"/>
      <c r="T83" s="38"/>
      <c r="U83" s="38"/>
      <c r="V83" s="38"/>
      <c r="W83" s="37"/>
      <c r="X83" s="38"/>
      <c r="Y83" s="38"/>
      <c r="Z83" s="38"/>
      <c r="AA83" s="38"/>
      <c r="AB83" s="38"/>
      <c r="AC83" s="37"/>
      <c r="AD83" s="38"/>
      <c r="AE83" s="38"/>
      <c r="AF83" s="38"/>
      <c r="AG83" s="38"/>
      <c r="AH83" s="38"/>
      <c r="AI83" s="37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13">
        <v>18</v>
      </c>
      <c r="BT83" s="17">
        <v>1000000</v>
      </c>
      <c r="BU83" s="17">
        <v>2000000</v>
      </c>
      <c r="BV83" s="18">
        <v>1130</v>
      </c>
      <c r="BW83" s="18">
        <v>1760</v>
      </c>
      <c r="BX83" s="18" t="e">
        <f>IF(AND(BX63&gt;BT83,BX63&lt;=BU83),(BW83-BV83)/(BU83-BT83)*(BX63-BT83)+BV83,0)</f>
        <v>#REF!</v>
      </c>
      <c r="BY83" s="18" t="e">
        <f>IF(AND(BY63&gt;BQ83,BY63&lt;=BR83),(BT83-BS83)/(BR83-BQ83)*(BY63-BQ83)+BS83,0)</f>
        <v>#REF!</v>
      </c>
      <c r="BZ83" s="38"/>
      <c r="CA83" s="38"/>
      <c r="CB83" s="18" t="e">
        <f>IF(AND(CB63&gt;BT83,CB63&lt;=BU83),(BW83-BV83)/(BU83-BT83)*(CB63-BT83)+BV83,0)</f>
        <v>#REF!</v>
      </c>
      <c r="CC83" s="38"/>
      <c r="CD83" s="38"/>
      <c r="CE83" s="38"/>
      <c r="CF83" s="38"/>
      <c r="CG83" s="38"/>
      <c r="CH83" s="38"/>
      <c r="CI83" s="38"/>
      <c r="CJ83" s="13" t="s">
        <v>2</v>
      </c>
      <c r="CK83" s="14" t="s">
        <v>90</v>
      </c>
      <c r="CL83" s="14"/>
      <c r="CM83" s="14" t="s">
        <v>91</v>
      </c>
      <c r="CN83" s="14"/>
      <c r="CO83" s="15" t="s">
        <v>92</v>
      </c>
      <c r="CP83" s="16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13">
        <v>2</v>
      </c>
      <c r="DF83" s="17">
        <v>1000</v>
      </c>
      <c r="DG83" s="17">
        <v>3000</v>
      </c>
      <c r="DH83" s="18">
        <v>2.5</v>
      </c>
      <c r="DI83" s="18">
        <v>6</v>
      </c>
      <c r="DJ83" s="19" t="e">
        <f>IF(AND(DJ79&gt;DF83,DJ79&lt;=DG83),(DI83-DH83)/(DG83-DF83)*(DJ79-DF83)+DH83,0)</f>
        <v>#REF!</v>
      </c>
    </row>
    <row r="84" spans="1:114">
      <c r="A84" s="37"/>
      <c r="B84" s="38"/>
      <c r="C84" s="38"/>
      <c r="D84" s="38"/>
      <c r="E84" s="38"/>
      <c r="F84" s="38"/>
      <c r="G84" s="38"/>
      <c r="H84" s="37"/>
      <c r="I84" s="38"/>
      <c r="J84" s="38"/>
      <c r="K84" s="38"/>
      <c r="L84" s="38"/>
      <c r="M84" s="38"/>
      <c r="N84" s="38"/>
      <c r="O84" s="37"/>
      <c r="P84" s="38"/>
      <c r="Q84" s="38"/>
      <c r="R84" s="38"/>
      <c r="S84" s="38"/>
      <c r="T84" s="38"/>
      <c r="U84" s="38"/>
      <c r="V84" s="38"/>
      <c r="W84" s="37"/>
      <c r="X84" s="38"/>
      <c r="Y84" s="38"/>
      <c r="Z84" s="38"/>
      <c r="AA84" s="38"/>
      <c r="AB84" s="38"/>
      <c r="AC84" s="37"/>
      <c r="AD84" s="38"/>
      <c r="AE84" s="38"/>
      <c r="AF84" s="38"/>
      <c r="AG84" s="38"/>
      <c r="AH84" s="38"/>
      <c r="AI84" s="37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13">
        <v>19</v>
      </c>
      <c r="BT84" s="17">
        <v>2000000</v>
      </c>
      <c r="BU84" s="15" t="s">
        <v>101</v>
      </c>
      <c r="BV84" s="18">
        <v>1760</v>
      </c>
      <c r="BW84" s="63">
        <v>0.00088</v>
      </c>
      <c r="BX84" s="18" t="e">
        <f>IF((BX63&gt;BT84),BX63*BW84,0)</f>
        <v>#REF!</v>
      </c>
      <c r="BY84" s="18" t="e">
        <f>IF((BY63&gt;BU84),BY63*BX84,0)</f>
        <v>#REF!</v>
      </c>
      <c r="BZ84" s="38"/>
      <c r="CA84" s="38"/>
      <c r="CB84" s="18" t="e">
        <f>IF((CB63&gt;BX84),CB63*CA84,0)</f>
        <v>#REF!</v>
      </c>
      <c r="CC84" s="38"/>
      <c r="CD84" s="38"/>
      <c r="CE84" s="38"/>
      <c r="CF84" s="38"/>
      <c r="CG84" s="38"/>
      <c r="CH84" s="38"/>
      <c r="CI84" s="38"/>
      <c r="CJ84" s="13">
        <v>1</v>
      </c>
      <c r="CK84" s="17">
        <v>0</v>
      </c>
      <c r="CL84" s="17">
        <f>10000*0.3</f>
        <v>3000</v>
      </c>
      <c r="CM84" s="18">
        <v>0.5</v>
      </c>
      <c r="CN84" s="18">
        <v>0.8</v>
      </c>
      <c r="CO84" s="18">
        <f>IF(AND(CO81&gt;CK84,CO81&lt;=CL84),(CN84-CM84)/(CL84-CK84)*(CO81-CK84)+CM84,0)</f>
        <v>0</v>
      </c>
      <c r="CP84" s="19">
        <f>IF(AND(CP81&gt;CK84,CP81&lt;=CL84),(CN84-CM84)/(CL84-CK84)*(CP81-CK84)+CM84,0)</f>
        <v>0</v>
      </c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13">
        <v>3</v>
      </c>
      <c r="DF84" s="17">
        <v>3000</v>
      </c>
      <c r="DG84" s="17">
        <v>10000</v>
      </c>
      <c r="DH84" s="18">
        <v>6</v>
      </c>
      <c r="DI84" s="18">
        <v>14</v>
      </c>
      <c r="DJ84" s="19" t="e">
        <f>IF(AND(DJ79&gt;DF84,DJ79&lt;=DG84),(DI84-DH84)/(DG84-DF84)*(DJ79-DF84)+DH84,0)</f>
        <v>#REF!</v>
      </c>
    </row>
    <row r="85" spans="1:114">
      <c r="A85" s="37"/>
      <c r="B85" s="38"/>
      <c r="C85" s="38"/>
      <c r="D85" s="38"/>
      <c r="E85" s="38"/>
      <c r="F85" s="38"/>
      <c r="G85" s="38"/>
      <c r="H85" s="37"/>
      <c r="I85" s="38"/>
      <c r="J85" s="38"/>
      <c r="K85" s="38"/>
      <c r="L85" s="38"/>
      <c r="M85" s="38"/>
      <c r="N85" s="38"/>
      <c r="O85" s="37"/>
      <c r="P85" s="38"/>
      <c r="Q85" s="38"/>
      <c r="R85" s="38"/>
      <c r="S85" s="38"/>
      <c r="T85" s="38"/>
      <c r="U85" s="38"/>
      <c r="V85" s="38"/>
      <c r="W85" s="37"/>
      <c r="X85" s="38"/>
      <c r="Y85" s="38"/>
      <c r="Z85" s="38"/>
      <c r="AA85" s="38"/>
      <c r="AB85" s="38"/>
      <c r="AC85" s="37"/>
      <c r="AD85" s="38"/>
      <c r="AE85" s="38"/>
      <c r="AF85" s="38"/>
      <c r="AG85" s="38"/>
      <c r="AH85" s="38"/>
      <c r="AI85" s="37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13">
        <v>2</v>
      </c>
      <c r="CK85" s="17">
        <f>0.3*10000</f>
        <v>3000</v>
      </c>
      <c r="CL85" s="17">
        <v>20000</v>
      </c>
      <c r="CM85" s="18">
        <v>0.8</v>
      </c>
      <c r="CN85" s="18">
        <v>1.5</v>
      </c>
      <c r="CO85" s="18">
        <f>IF(AND(CO81&gt;CK85,CO81&lt;=CL85),(CN85-CM85)/(CL85-CK85)*(CO81-CK85)+CM85,0)</f>
        <v>0</v>
      </c>
      <c r="CP85" s="19">
        <f>IF(AND(CP81&gt;CK85,CP81&lt;=CL85),(CN85-CM85)/(CL85-CK85)*(CP81-CK85)+CM85,0)</f>
        <v>0</v>
      </c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13">
        <v>4</v>
      </c>
      <c r="DF85" s="17">
        <v>10000</v>
      </c>
      <c r="DG85" s="17">
        <v>50000</v>
      </c>
      <c r="DH85" s="18">
        <v>14</v>
      </c>
      <c r="DI85" s="18">
        <v>37</v>
      </c>
      <c r="DJ85" s="19" t="e">
        <f>IF(AND(DJ79&gt;DF85,DJ79&lt;=DG85),(DI85-DH85)/(DG85-DF85)*(DJ79-DF85)+DH85,0)</f>
        <v>#REF!</v>
      </c>
    </row>
    <row r="86" spans="1:114">
      <c r="A86" s="37"/>
      <c r="B86" s="38"/>
      <c r="C86" s="38"/>
      <c r="D86" s="38"/>
      <c r="E86" s="38"/>
      <c r="F86" s="38"/>
      <c r="G86" s="38"/>
      <c r="H86" s="37"/>
      <c r="I86" s="38"/>
      <c r="J86" s="38"/>
      <c r="K86" s="38"/>
      <c r="L86" s="38"/>
      <c r="M86" s="38"/>
      <c r="N86" s="38"/>
      <c r="O86" s="37"/>
      <c r="P86" s="38"/>
      <c r="Q86" s="38"/>
      <c r="R86" s="38"/>
      <c r="S86" s="38"/>
      <c r="T86" s="38"/>
      <c r="U86" s="38"/>
      <c r="V86" s="38"/>
      <c r="W86" s="37"/>
      <c r="X86" s="38"/>
      <c r="Y86" s="38"/>
      <c r="Z86" s="38"/>
      <c r="AA86" s="38"/>
      <c r="AB86" s="38"/>
      <c r="AC86" s="37"/>
      <c r="AD86" s="38"/>
      <c r="AE86" s="38"/>
      <c r="AF86" s="38"/>
      <c r="AG86" s="38"/>
      <c r="AH86" s="38"/>
      <c r="AI86" s="37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13">
        <v>3</v>
      </c>
      <c r="CK86" s="17">
        <v>20000</v>
      </c>
      <c r="CL86" s="17">
        <v>100000</v>
      </c>
      <c r="CM86" s="18">
        <v>1.5</v>
      </c>
      <c r="CN86" s="18">
        <v>2</v>
      </c>
      <c r="CO86" s="18">
        <f>IF(AND(CO81&gt;CK86,CO81&lt;=CL86),(CN86-CM86)/(CL86-CK86)*(CO81-CK86)+CM86,0)</f>
        <v>0</v>
      </c>
      <c r="CP86" s="19">
        <f>IF(AND(CP81&gt;CK86,CP81&lt;=CL86),(CN86-CM86)/(CL86-CK86)*(CP81-CK86)+CM86,0)</f>
        <v>0</v>
      </c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13">
        <v>5</v>
      </c>
      <c r="DF86" s="20">
        <v>50000</v>
      </c>
      <c r="DG86" s="20">
        <v>100000</v>
      </c>
      <c r="DH86" s="21">
        <v>37</v>
      </c>
      <c r="DI86" s="21">
        <v>55</v>
      </c>
      <c r="DJ86" s="19" t="e">
        <f>IF(AND(DJ79&gt;DF86,DJ79&lt;=DG86),(DI86-DH86)/(DG86-DF86)*(DJ79-DF86)+DH86,0)</f>
        <v>#REF!</v>
      </c>
    </row>
    <row r="87" spans="1:114">
      <c r="A87" s="37"/>
      <c r="B87" s="38"/>
      <c r="C87" s="38"/>
      <c r="D87" s="38"/>
      <c r="E87" s="38"/>
      <c r="F87" s="38"/>
      <c r="G87" s="38"/>
      <c r="H87" s="37"/>
      <c r="I87" s="38"/>
      <c r="J87" s="38"/>
      <c r="K87" s="38"/>
      <c r="L87" s="38"/>
      <c r="M87" s="38"/>
      <c r="N87" s="38"/>
      <c r="O87" s="37"/>
      <c r="P87" s="38"/>
      <c r="Q87" s="38"/>
      <c r="R87" s="38"/>
      <c r="S87" s="38"/>
      <c r="T87" s="38"/>
      <c r="U87" s="38"/>
      <c r="V87" s="38"/>
      <c r="W87" s="37"/>
      <c r="X87" s="38"/>
      <c r="Y87" s="38"/>
      <c r="Z87" s="38"/>
      <c r="AA87" s="38"/>
      <c r="AB87" s="38"/>
      <c r="AC87" s="37"/>
      <c r="AD87" s="38"/>
      <c r="AE87" s="38"/>
      <c r="AF87" s="38"/>
      <c r="AG87" s="38"/>
      <c r="AH87" s="38"/>
      <c r="AI87" s="37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47" t="s">
        <v>217</v>
      </c>
      <c r="BT87" s="1"/>
      <c r="BU87" s="1"/>
      <c r="BV87" s="1"/>
      <c r="BW87" s="93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13">
        <v>4</v>
      </c>
      <c r="CK87" s="17">
        <v>100000</v>
      </c>
      <c r="CL87" s="20">
        <v>500000</v>
      </c>
      <c r="CM87" s="18">
        <v>2</v>
      </c>
      <c r="CN87" s="15" t="s">
        <v>154</v>
      </c>
      <c r="CO87" s="18">
        <f>IF(AND(CO81&gt;CK87,CO81&lt;=CL87),(CN87-CM87)/(CL87-CK87)*(CO81-CK87)+CM87,0)</f>
        <v>0</v>
      </c>
      <c r="CP87" s="19">
        <f>IF(AND(CP81&gt;CK87,CP81&lt;=CL87),(CN87-CM87)/(CL87-CK87)*(CP81-CK87)+CM87,0)</f>
        <v>0</v>
      </c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13">
        <v>6</v>
      </c>
      <c r="DF87" s="17">
        <v>100000</v>
      </c>
      <c r="DG87" s="17">
        <v>500000</v>
      </c>
      <c r="DH87" s="18">
        <v>55</v>
      </c>
      <c r="DI87" s="18">
        <v>100</v>
      </c>
      <c r="DJ87" s="19" t="e">
        <f>IF(AND(DJ79&gt;DF87,DJ79&lt;=DG87),(DI87-DH87)/(DG87-DF87)*(DJ79-DF87)+DH87,0)</f>
        <v>#REF!</v>
      </c>
    </row>
    <row r="88" spans="1:114">
      <c r="A88" s="37"/>
      <c r="B88" s="38"/>
      <c r="C88" s="38"/>
      <c r="D88" s="38"/>
      <c r="E88" s="38"/>
      <c r="F88" s="38"/>
      <c r="G88" s="38"/>
      <c r="H88" s="37"/>
      <c r="I88" s="38"/>
      <c r="J88" s="38"/>
      <c r="K88" s="38"/>
      <c r="L88" s="38"/>
      <c r="M88" s="38"/>
      <c r="N88" s="38"/>
      <c r="O88" s="37"/>
      <c r="P88" s="38"/>
      <c r="Q88" s="38"/>
      <c r="R88" s="38"/>
      <c r="S88" s="38"/>
      <c r="T88" s="38"/>
      <c r="U88" s="38"/>
      <c r="V88" s="38"/>
      <c r="W88" s="37"/>
      <c r="X88" s="38"/>
      <c r="Y88" s="38"/>
      <c r="Z88" s="38"/>
      <c r="AA88" s="38"/>
      <c r="AB88" s="38"/>
      <c r="AC88" s="37"/>
      <c r="AD88" s="38"/>
      <c r="AE88" s="38"/>
      <c r="AF88" s="38"/>
      <c r="AG88" s="38"/>
      <c r="AH88" s="38"/>
      <c r="AI88" s="37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65" t="s">
        <v>126</v>
      </c>
      <c r="BT88" s="65"/>
      <c r="BU88" s="65"/>
      <c r="BV88" s="65"/>
      <c r="BW88" s="65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13">
        <v>5</v>
      </c>
      <c r="CK88" s="20">
        <v>500000</v>
      </c>
      <c r="CL88" s="17">
        <v>1000000</v>
      </c>
      <c r="CM88" s="15" t="s">
        <v>154</v>
      </c>
      <c r="CN88" s="15" t="s">
        <v>154</v>
      </c>
      <c r="CO88" s="18">
        <f>IF(AND(CO81&gt;CK88,CO81&lt;=CL88),(CN88-CM88)/(CL88-CK88)*(CO81-CK88)+CM88,0)</f>
        <v>0</v>
      </c>
      <c r="CP88" s="19">
        <f>IF(AND(CP81&gt;CK88,CP81&lt;=CL88),(CN88-CM88)/(CL88-CK88)*(CP81-CK88)+CM88,0)</f>
        <v>0</v>
      </c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13">
        <v>7</v>
      </c>
      <c r="DF88" s="17">
        <v>500000</v>
      </c>
      <c r="DG88" s="186" t="s">
        <v>101</v>
      </c>
      <c r="DH88" s="18">
        <v>100</v>
      </c>
      <c r="DI88" s="18">
        <v>125</v>
      </c>
      <c r="DJ88" s="19" t="e">
        <f>IF((DJ79&gt;DF88),DJ79*DI88,0)</f>
        <v>#REF!</v>
      </c>
    </row>
    <row r="89" spans="1:114">
      <c r="A89" s="37"/>
      <c r="B89" s="38"/>
      <c r="C89" s="38"/>
      <c r="D89" s="38"/>
      <c r="E89" s="38"/>
      <c r="F89" s="38"/>
      <c r="G89" s="38"/>
      <c r="H89" s="37"/>
      <c r="I89" s="38"/>
      <c r="J89" s="38"/>
      <c r="K89" s="38"/>
      <c r="L89" s="38"/>
      <c r="M89" s="38"/>
      <c r="N89" s="38"/>
      <c r="O89" s="37"/>
      <c r="P89" s="38"/>
      <c r="Q89" s="38"/>
      <c r="R89" s="38"/>
      <c r="S89" s="38"/>
      <c r="T89" s="38"/>
      <c r="U89" s="38"/>
      <c r="V89" s="38"/>
      <c r="W89" s="37"/>
      <c r="X89" s="38"/>
      <c r="Y89" s="38"/>
      <c r="Z89" s="38"/>
      <c r="AA89" s="38"/>
      <c r="AB89" s="38"/>
      <c r="AC89" s="37"/>
      <c r="AD89" s="38"/>
      <c r="AE89" s="38"/>
      <c r="AF89" s="38"/>
      <c r="AG89" s="38"/>
      <c r="AH89" s="38"/>
      <c r="AI89" s="37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76"/>
      <c r="BT89" s="77" t="s">
        <v>66</v>
      </c>
      <c r="BU89" s="77" t="s">
        <v>67</v>
      </c>
      <c r="BV89" s="77" t="s">
        <v>68</v>
      </c>
      <c r="BW89" s="96" t="s">
        <v>145</v>
      </c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13">
        <v>6</v>
      </c>
      <c r="CK89" s="17">
        <v>1000000</v>
      </c>
      <c r="CL89" s="15" t="s">
        <v>154</v>
      </c>
      <c r="CM89" s="15" t="s">
        <v>154</v>
      </c>
      <c r="CN89" s="15" t="s">
        <v>154</v>
      </c>
      <c r="CO89" s="18">
        <v>0</v>
      </c>
      <c r="CP89" s="19">
        <f>IF(AND(CP81&gt;CK89,CP81&lt;=CL89),(CN89-CM89)/(CL89-CK89)*(CP81-CK89)+CM89,0)</f>
        <v>0</v>
      </c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13"/>
      <c r="DF89" s="17"/>
      <c r="DG89" s="17"/>
      <c r="DH89" s="18"/>
      <c r="DI89" s="18"/>
      <c r="DJ89" s="19"/>
    </row>
    <row r="90" spans="1:114">
      <c r="A90" s="37"/>
      <c r="B90" s="38"/>
      <c r="C90" s="38"/>
      <c r="D90" s="38"/>
      <c r="E90" s="38"/>
      <c r="F90" s="38"/>
      <c r="G90" s="38"/>
      <c r="H90" s="37"/>
      <c r="I90" s="38"/>
      <c r="J90" s="38"/>
      <c r="K90" s="38"/>
      <c r="L90" s="38"/>
      <c r="M90" s="38"/>
      <c r="N90" s="38"/>
      <c r="O90" s="37"/>
      <c r="P90" s="38"/>
      <c r="Q90" s="38"/>
      <c r="R90" s="38"/>
      <c r="S90" s="38"/>
      <c r="T90" s="38"/>
      <c r="U90" s="38"/>
      <c r="V90" s="38"/>
      <c r="W90" s="37"/>
      <c r="X90" s="38"/>
      <c r="Y90" s="38"/>
      <c r="Z90" s="38"/>
      <c r="AA90" s="38"/>
      <c r="AB90" s="38"/>
      <c r="AC90" s="37"/>
      <c r="AD90" s="38"/>
      <c r="AE90" s="38"/>
      <c r="AF90" s="38"/>
      <c r="AG90" s="38"/>
      <c r="AH90" s="38"/>
      <c r="AI90" s="37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79"/>
      <c r="BT90" s="17">
        <v>100</v>
      </c>
      <c r="BU90" s="165">
        <v>0.0037</v>
      </c>
      <c r="BV90" s="18">
        <f>IF((BW90-BT90)&gt;0,BT90*BU90,BW90*BU90)</f>
        <v>0</v>
      </c>
      <c r="BW90" s="98">
        <f>G4</f>
        <v>0</v>
      </c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13"/>
      <c r="CK90" s="17"/>
      <c r="CL90" s="17"/>
      <c r="CM90" s="18"/>
      <c r="CN90" s="18"/>
      <c r="CO90" s="18"/>
      <c r="CP90" s="19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13"/>
      <c r="DF90" s="38"/>
      <c r="DG90" s="23" t="s">
        <v>218</v>
      </c>
      <c r="DH90" s="24"/>
      <c r="DI90" s="24"/>
      <c r="DJ90" s="26" t="e">
        <f>SUM(DJ82:DJ88)</f>
        <v>#REF!</v>
      </c>
    </row>
    <row r="91" spans="1:114">
      <c r="A91" s="37"/>
      <c r="B91" s="38"/>
      <c r="C91" s="38"/>
      <c r="D91" s="38"/>
      <c r="E91" s="38"/>
      <c r="F91" s="38"/>
      <c r="G91" s="38"/>
      <c r="H91" s="37"/>
      <c r="I91" s="38"/>
      <c r="J91" s="38"/>
      <c r="K91" s="38"/>
      <c r="L91" s="38"/>
      <c r="M91" s="38"/>
      <c r="N91" s="38"/>
      <c r="O91" s="37"/>
      <c r="P91" s="38"/>
      <c r="Q91" s="38"/>
      <c r="R91" s="38"/>
      <c r="S91" s="38"/>
      <c r="T91" s="38"/>
      <c r="U91" s="38"/>
      <c r="V91" s="38"/>
      <c r="W91" s="37"/>
      <c r="X91" s="38"/>
      <c r="Y91" s="38"/>
      <c r="Z91" s="38"/>
      <c r="AA91" s="38"/>
      <c r="AB91" s="38"/>
      <c r="AC91" s="37"/>
      <c r="AD91" s="38"/>
      <c r="AE91" s="38"/>
      <c r="AF91" s="38"/>
      <c r="AG91" s="38"/>
      <c r="AH91" s="38"/>
      <c r="AI91" s="37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79"/>
      <c r="BT91" s="17">
        <v>500</v>
      </c>
      <c r="BU91" s="165">
        <v>0.0035</v>
      </c>
      <c r="BV91" s="18">
        <f>IF((BW90-BT91)&gt;0,(BT91-BT90)*BU91,IF((BW90-BT90)*BU91&gt;0,(BW90-BT90)*BU91,0))</f>
        <v>0</v>
      </c>
      <c r="BW91" s="99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13"/>
      <c r="CK91" s="17"/>
      <c r="CL91" s="23" t="s">
        <v>92</v>
      </c>
      <c r="CM91" s="24"/>
      <c r="CN91" s="24"/>
      <c r="CO91" s="25">
        <f>SUM(CO84:CO89)</f>
        <v>0</v>
      </c>
      <c r="CP91" s="26">
        <f>SUM(CP84:CP89)</f>
        <v>0</v>
      </c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13"/>
      <c r="DF91" s="17"/>
      <c r="DG91" s="27" t="s">
        <v>219</v>
      </c>
      <c r="DH91" s="24"/>
      <c r="DI91" s="24"/>
      <c r="DJ91" s="29">
        <v>0.7</v>
      </c>
    </row>
    <row r="92" spans="1:114">
      <c r="A92" s="37"/>
      <c r="B92" s="38"/>
      <c r="C92" s="38"/>
      <c r="D92" s="38"/>
      <c r="E92" s="38"/>
      <c r="F92" s="38"/>
      <c r="G92" s="38"/>
      <c r="H92" s="37"/>
      <c r="I92" s="38"/>
      <c r="J92" s="38"/>
      <c r="K92" s="38"/>
      <c r="L92" s="38"/>
      <c r="M92" s="38"/>
      <c r="N92" s="38"/>
      <c r="O92" s="37"/>
      <c r="P92" s="38"/>
      <c r="Q92" s="38"/>
      <c r="R92" s="38"/>
      <c r="S92" s="38"/>
      <c r="T92" s="38"/>
      <c r="U92" s="38"/>
      <c r="V92" s="38"/>
      <c r="W92" s="37"/>
      <c r="X92" s="38"/>
      <c r="Y92" s="38"/>
      <c r="Z92" s="38"/>
      <c r="AA92" s="38"/>
      <c r="AB92" s="38"/>
      <c r="AC92" s="37"/>
      <c r="AD92" s="38"/>
      <c r="AE92" s="38"/>
      <c r="AF92" s="38"/>
      <c r="AG92" s="38"/>
      <c r="AH92" s="38"/>
      <c r="AI92" s="37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79"/>
      <c r="BT92" s="17">
        <v>1000</v>
      </c>
      <c r="BU92" s="63">
        <v>0.0033</v>
      </c>
      <c r="BV92" s="18">
        <f>IF((BW90-BT92)&gt;0,(BT92-BT91)*BU92,IF((BW90-BT91)*BU92&gt;0,(BW90-BT91)*BU92,0))</f>
        <v>0</v>
      </c>
      <c r="BW92" s="99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13"/>
      <c r="CK92" s="17"/>
      <c r="CL92" s="27" t="s">
        <v>125</v>
      </c>
      <c r="CM92" s="24"/>
      <c r="CN92" s="24"/>
      <c r="CO92" s="28">
        <v>1.1</v>
      </c>
      <c r="CP92" s="28">
        <v>0.8</v>
      </c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13"/>
      <c r="DF92" s="17"/>
      <c r="DG92" s="27" t="s">
        <v>220</v>
      </c>
      <c r="DH92" s="24"/>
      <c r="DI92" s="24"/>
      <c r="DJ92" s="29">
        <v>1.2</v>
      </c>
    </row>
    <row r="93" spans="1:114">
      <c r="A93" s="37"/>
      <c r="B93" s="38"/>
      <c r="C93" s="38"/>
      <c r="D93" s="38"/>
      <c r="E93" s="38"/>
      <c r="F93" s="38"/>
      <c r="G93" s="38"/>
      <c r="H93" s="37"/>
      <c r="I93" s="38"/>
      <c r="J93" s="38"/>
      <c r="K93" s="38"/>
      <c r="L93" s="38"/>
      <c r="M93" s="38"/>
      <c r="N93" s="38"/>
      <c r="O93" s="37"/>
      <c r="P93" s="38"/>
      <c r="Q93" s="38"/>
      <c r="R93" s="38"/>
      <c r="S93" s="38"/>
      <c r="T93" s="38"/>
      <c r="U93" s="38"/>
      <c r="V93" s="38"/>
      <c r="W93" s="37"/>
      <c r="X93" s="38"/>
      <c r="Y93" s="38"/>
      <c r="Z93" s="38"/>
      <c r="AA93" s="38"/>
      <c r="AB93" s="38"/>
      <c r="AC93" s="37"/>
      <c r="AD93" s="38"/>
      <c r="AE93" s="38"/>
      <c r="AF93" s="38"/>
      <c r="AG93" s="38"/>
      <c r="AH93" s="38"/>
      <c r="AI93" s="37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79"/>
      <c r="BT93" s="17">
        <v>3000</v>
      </c>
      <c r="BU93" s="63">
        <v>0.0029</v>
      </c>
      <c r="BV93" s="18">
        <f>IF((BW90-BT93)&gt;0,(BT93-BT92)*BU93,IF((BW90-BT92)*BU93&gt;0,(BW90-BT92)*BU93,0))</f>
        <v>0</v>
      </c>
      <c r="BW93" s="99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13"/>
      <c r="CK93" s="17"/>
      <c r="CL93" s="27" t="s">
        <v>149</v>
      </c>
      <c r="CM93" s="24"/>
      <c r="CN93" s="24"/>
      <c r="CO93" s="28">
        <v>1.2</v>
      </c>
      <c r="CP93" s="28">
        <v>1</v>
      </c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168"/>
      <c r="DF93" s="168"/>
      <c r="DG93" s="168"/>
      <c r="DH93" s="168"/>
      <c r="DI93" s="168"/>
      <c r="DJ93" s="168"/>
    </row>
    <row r="94" spans="1:114">
      <c r="A94" s="37"/>
      <c r="B94" s="38"/>
      <c r="C94" s="38"/>
      <c r="D94" s="38"/>
      <c r="E94" s="38"/>
      <c r="F94" s="38"/>
      <c r="G94" s="38"/>
      <c r="H94" s="37"/>
      <c r="I94" s="38"/>
      <c r="J94" s="38"/>
      <c r="K94" s="38"/>
      <c r="L94" s="38"/>
      <c r="M94" s="38"/>
      <c r="N94" s="38"/>
      <c r="O94" s="37"/>
      <c r="P94" s="38"/>
      <c r="Q94" s="38"/>
      <c r="R94" s="38"/>
      <c r="S94" s="38"/>
      <c r="T94" s="38"/>
      <c r="U94" s="38"/>
      <c r="V94" s="38"/>
      <c r="W94" s="37"/>
      <c r="X94" s="38"/>
      <c r="Y94" s="38"/>
      <c r="Z94" s="38"/>
      <c r="AA94" s="38"/>
      <c r="AB94" s="38"/>
      <c r="AC94" s="37"/>
      <c r="AD94" s="38"/>
      <c r="AE94" s="38"/>
      <c r="AF94" s="38"/>
      <c r="AG94" s="38"/>
      <c r="AH94" s="38"/>
      <c r="AI94" s="37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79"/>
      <c r="BT94" s="17">
        <v>5000</v>
      </c>
      <c r="BU94" s="63">
        <v>0.0027</v>
      </c>
      <c r="BV94" s="18">
        <f>IF((BW90-BT94)&gt;0,(BT94-BT93)*BU94,IF((BW90-BT93)*BU94&gt;0,(BW90-BT93)*BU94,0))</f>
        <v>0</v>
      </c>
      <c r="BW94" s="99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13"/>
      <c r="CK94" s="17"/>
      <c r="CL94" s="27" t="s">
        <v>192</v>
      </c>
      <c r="CM94" s="24"/>
      <c r="CN94" s="24"/>
      <c r="CO94" s="28">
        <v>1</v>
      </c>
      <c r="CP94" s="28">
        <v>0.85</v>
      </c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1" t="s">
        <v>221</v>
      </c>
      <c r="DF94" s="1"/>
      <c r="DG94" s="1"/>
      <c r="DH94" s="1"/>
      <c r="DI94" s="1"/>
      <c r="DJ94" s="1"/>
    </row>
    <row r="95" spans="1:114">
      <c r="A95" s="37"/>
      <c r="B95" s="38"/>
      <c r="C95" s="38"/>
      <c r="D95" s="38"/>
      <c r="E95" s="38"/>
      <c r="F95" s="38"/>
      <c r="G95" s="38"/>
      <c r="H95" s="37"/>
      <c r="I95" s="38"/>
      <c r="J95" s="38"/>
      <c r="K95" s="38"/>
      <c r="L95" s="38"/>
      <c r="M95" s="38"/>
      <c r="N95" s="38"/>
      <c r="O95" s="37"/>
      <c r="P95" s="38"/>
      <c r="Q95" s="38"/>
      <c r="R95" s="38"/>
      <c r="S95" s="38"/>
      <c r="T95" s="38"/>
      <c r="U95" s="38"/>
      <c r="V95" s="38"/>
      <c r="W95" s="37"/>
      <c r="X95" s="38"/>
      <c r="Y95" s="38"/>
      <c r="Z95" s="38"/>
      <c r="AA95" s="38"/>
      <c r="AB95" s="38"/>
      <c r="AC95" s="37"/>
      <c r="AD95" s="38"/>
      <c r="AE95" s="38"/>
      <c r="AF95" s="38"/>
      <c r="AG95" s="38"/>
      <c r="AH95" s="38"/>
      <c r="AI95" s="37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79"/>
      <c r="BT95" s="17">
        <v>10000</v>
      </c>
      <c r="BU95" s="63">
        <v>0.0022</v>
      </c>
      <c r="BV95" s="18">
        <f>IF((BW90-BT95)&gt;0,(BT95-BT94)*BU95,IF((BW90-BT94)*BU95&gt;0,(BW90-BT94)*BU95,0))</f>
        <v>0</v>
      </c>
      <c r="BW95" s="99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13"/>
      <c r="CK95" s="17"/>
      <c r="CL95" s="30" t="s">
        <v>155</v>
      </c>
      <c r="CM95" s="24"/>
      <c r="CN95" s="24"/>
      <c r="CO95" s="28">
        <v>1</v>
      </c>
      <c r="CP95" s="28">
        <v>1</v>
      </c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4" t="s">
        <v>212</v>
      </c>
      <c r="DF95" s="5"/>
      <c r="DG95" s="5"/>
      <c r="DH95" s="5"/>
      <c r="DI95" s="5"/>
      <c r="DJ95" s="187" t="e">
        <f>DJ79</f>
        <v>#REF!</v>
      </c>
    </row>
    <row r="96" spans="1:114">
      <c r="A96" s="37"/>
      <c r="B96" s="38"/>
      <c r="C96" s="38"/>
      <c r="D96" s="38"/>
      <c r="E96" s="38"/>
      <c r="F96" s="38"/>
      <c r="G96" s="38"/>
      <c r="H96" s="37"/>
      <c r="I96" s="38"/>
      <c r="J96" s="38"/>
      <c r="K96" s="38"/>
      <c r="L96" s="38"/>
      <c r="M96" s="38"/>
      <c r="N96" s="38"/>
      <c r="O96" s="37"/>
      <c r="P96" s="38"/>
      <c r="Q96" s="38"/>
      <c r="R96" s="38"/>
      <c r="S96" s="38"/>
      <c r="T96" s="38"/>
      <c r="U96" s="38"/>
      <c r="V96" s="38"/>
      <c r="W96" s="37"/>
      <c r="X96" s="38"/>
      <c r="Y96" s="38"/>
      <c r="Z96" s="38"/>
      <c r="AA96" s="38"/>
      <c r="AB96" s="38"/>
      <c r="AC96" s="37"/>
      <c r="AD96" s="38"/>
      <c r="AE96" s="38"/>
      <c r="AF96" s="38"/>
      <c r="AG96" s="38"/>
      <c r="AH96" s="38"/>
      <c r="AI96" s="37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53" t="s">
        <v>113</v>
      </c>
      <c r="BT96" s="17">
        <v>10000</v>
      </c>
      <c r="BU96" s="63">
        <v>0.0018</v>
      </c>
      <c r="BV96" s="18">
        <f>IF((BW90-BT96)&gt;0,(BW90-BT95)*BU96,0)</f>
        <v>0</v>
      </c>
      <c r="BW96" s="99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1"/>
      <c r="CK96" s="32"/>
      <c r="CL96" s="33" t="s">
        <v>159</v>
      </c>
      <c r="CM96" s="34"/>
      <c r="CN96" s="34"/>
      <c r="CO96" s="35">
        <v>0</v>
      </c>
      <c r="CP96" s="36">
        <v>0</v>
      </c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7" t="s">
        <v>222</v>
      </c>
      <c r="DF96" s="8"/>
      <c r="DG96" s="8"/>
      <c r="DH96" s="8"/>
      <c r="DI96" s="8"/>
      <c r="DJ96" s="44" t="e">
        <f>DJ106*DJ107*DJ108</f>
        <v>#REF!</v>
      </c>
    </row>
    <row r="97" spans="1:114">
      <c r="A97" s="37"/>
      <c r="B97" s="38"/>
      <c r="C97" s="38"/>
      <c r="D97" s="38"/>
      <c r="E97" s="38"/>
      <c r="F97" s="38"/>
      <c r="G97" s="38"/>
      <c r="H97" s="37"/>
      <c r="I97" s="38"/>
      <c r="J97" s="38"/>
      <c r="K97" s="38"/>
      <c r="L97" s="38"/>
      <c r="M97" s="38"/>
      <c r="N97" s="38"/>
      <c r="O97" s="37"/>
      <c r="P97" s="38"/>
      <c r="Q97" s="38"/>
      <c r="R97" s="38"/>
      <c r="S97" s="38"/>
      <c r="T97" s="38"/>
      <c r="U97" s="38"/>
      <c r="V97" s="38"/>
      <c r="W97" s="37"/>
      <c r="X97" s="38"/>
      <c r="Y97" s="38"/>
      <c r="Z97" s="38"/>
      <c r="AA97" s="38"/>
      <c r="AB97" s="38"/>
      <c r="AC97" s="37"/>
      <c r="AD97" s="38"/>
      <c r="AE97" s="38"/>
      <c r="AF97" s="38"/>
      <c r="AG97" s="38"/>
      <c r="AH97" s="38"/>
      <c r="AI97" s="37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85"/>
      <c r="BT97" s="32" t="s">
        <v>119</v>
      </c>
      <c r="BU97" s="32"/>
      <c r="BV97" s="101">
        <f>SUM(BV90:BV96)</f>
        <v>0</v>
      </c>
      <c r="BW97" s="102">
        <f>BV97</f>
        <v>0</v>
      </c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13" t="s">
        <v>2</v>
      </c>
      <c r="DF97" s="14" t="s">
        <v>214</v>
      </c>
      <c r="DG97" s="14"/>
      <c r="DH97" s="14" t="s">
        <v>215</v>
      </c>
      <c r="DI97" s="14"/>
      <c r="DJ97" s="16" t="s">
        <v>216</v>
      </c>
    </row>
    <row r="98" spans="1:114">
      <c r="A98" s="37"/>
      <c r="B98" s="38"/>
      <c r="C98" s="38"/>
      <c r="D98" s="38"/>
      <c r="E98" s="38"/>
      <c r="F98" s="38"/>
      <c r="G98" s="38"/>
      <c r="H98" s="37"/>
      <c r="I98" s="38"/>
      <c r="J98" s="38"/>
      <c r="K98" s="38"/>
      <c r="L98" s="38"/>
      <c r="M98" s="38"/>
      <c r="N98" s="38"/>
      <c r="O98" s="37"/>
      <c r="P98" s="38"/>
      <c r="Q98" s="38"/>
      <c r="R98" s="38"/>
      <c r="S98" s="38"/>
      <c r="T98" s="38"/>
      <c r="U98" s="38"/>
      <c r="V98" s="38"/>
      <c r="W98" s="37"/>
      <c r="X98" s="38"/>
      <c r="Y98" s="38"/>
      <c r="Z98" s="38"/>
      <c r="AA98" s="38"/>
      <c r="AB98" s="38"/>
      <c r="AC98" s="37"/>
      <c r="AD98" s="38"/>
      <c r="AE98" s="38"/>
      <c r="AF98" s="38"/>
      <c r="AG98" s="38"/>
      <c r="AH98" s="38"/>
      <c r="AI98" s="37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13">
        <v>1</v>
      </c>
      <c r="DF98" s="17">
        <v>0</v>
      </c>
      <c r="DG98" s="17">
        <v>1000</v>
      </c>
      <c r="DH98" s="18">
        <v>3</v>
      </c>
      <c r="DI98" s="45">
        <v>5</v>
      </c>
      <c r="DJ98" s="19" t="e">
        <f>IF(AND(DJ95&gt;DF98,DJ95&lt;=DG98),(DI98-DH98)/(DG98-DF98)*(DJ95-DF98)+DH98,0)</f>
        <v>#REF!</v>
      </c>
    </row>
    <row r="99" spans="1:114">
      <c r="A99" s="37"/>
      <c r="B99" s="38"/>
      <c r="C99" s="38"/>
      <c r="D99" s="38"/>
      <c r="E99" s="38"/>
      <c r="F99" s="38"/>
      <c r="G99" s="38"/>
      <c r="H99" s="37"/>
      <c r="I99" s="38"/>
      <c r="J99" s="38"/>
      <c r="K99" s="38"/>
      <c r="L99" s="38"/>
      <c r="M99" s="38"/>
      <c r="N99" s="38"/>
      <c r="O99" s="37"/>
      <c r="P99" s="38"/>
      <c r="Q99" s="38"/>
      <c r="R99" s="38"/>
      <c r="S99" s="38"/>
      <c r="T99" s="38"/>
      <c r="U99" s="38"/>
      <c r="V99" s="38"/>
      <c r="W99" s="37"/>
      <c r="X99" s="38"/>
      <c r="Y99" s="38"/>
      <c r="Z99" s="38"/>
      <c r="AA99" s="38"/>
      <c r="AB99" s="38"/>
      <c r="AC99" s="37"/>
      <c r="AD99" s="38"/>
      <c r="AE99" s="38"/>
      <c r="AF99" s="38"/>
      <c r="AG99" s="38"/>
      <c r="AH99" s="38"/>
      <c r="AI99" s="37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13">
        <v>2</v>
      </c>
      <c r="DF99" s="17">
        <v>1000</v>
      </c>
      <c r="DG99" s="17">
        <v>3000</v>
      </c>
      <c r="DH99" s="18">
        <v>5</v>
      </c>
      <c r="DI99" s="18">
        <v>12</v>
      </c>
      <c r="DJ99" s="19" t="e">
        <f>IF(AND(DJ95&gt;DF99,DJ95&lt;=DG99),(DI99-DH99)/(DG99-DF99)*(DJ95-DF99)+DH99,0)</f>
        <v>#REF!</v>
      </c>
    </row>
    <row r="100" spans="1:114">
      <c r="A100" s="37"/>
      <c r="B100" s="38"/>
      <c r="C100" s="38"/>
      <c r="D100" s="38"/>
      <c r="E100" s="38"/>
      <c r="F100" s="38"/>
      <c r="G100" s="38"/>
      <c r="H100" s="37"/>
      <c r="I100" s="38"/>
      <c r="J100" s="38"/>
      <c r="K100" s="38"/>
      <c r="L100" s="38"/>
      <c r="M100" s="38"/>
      <c r="N100" s="38"/>
      <c r="O100" s="37"/>
      <c r="P100" s="38"/>
      <c r="Q100" s="38"/>
      <c r="R100" s="38"/>
      <c r="S100" s="38"/>
      <c r="T100" s="38"/>
      <c r="U100" s="38"/>
      <c r="V100" s="38"/>
      <c r="W100" s="37"/>
      <c r="X100" s="38"/>
      <c r="Y100" s="38"/>
      <c r="Z100" s="38"/>
      <c r="AA100" s="38"/>
      <c r="AB100" s="38"/>
      <c r="AC100" s="37"/>
      <c r="AD100" s="38"/>
      <c r="AE100" s="38"/>
      <c r="AF100" s="38"/>
      <c r="AG100" s="38"/>
      <c r="AH100" s="38"/>
      <c r="AI100" s="37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13">
        <v>3</v>
      </c>
      <c r="DF100" s="17">
        <v>3000</v>
      </c>
      <c r="DG100" s="17">
        <v>10000</v>
      </c>
      <c r="DH100" s="18">
        <v>12</v>
      </c>
      <c r="DI100" s="18">
        <v>28</v>
      </c>
      <c r="DJ100" s="19" t="e">
        <f>IF(AND(DJ95&gt;DF100,DJ95&lt;=DG100),(DI100-DH100)/(DG100-DF100)*(DJ95-DF100)+DH100,0)</f>
        <v>#REF!</v>
      </c>
    </row>
    <row r="101" spans="1:114">
      <c r="A101" s="37"/>
      <c r="B101" s="38"/>
      <c r="C101" s="38"/>
      <c r="D101" s="38"/>
      <c r="E101" s="38"/>
      <c r="F101" s="38"/>
      <c r="G101" s="38"/>
      <c r="H101" s="37"/>
      <c r="I101" s="38"/>
      <c r="J101" s="38"/>
      <c r="K101" s="38"/>
      <c r="L101" s="38"/>
      <c r="M101" s="38"/>
      <c r="N101" s="38"/>
      <c r="O101" s="37"/>
      <c r="P101" s="38"/>
      <c r="Q101" s="38"/>
      <c r="R101" s="38"/>
      <c r="S101" s="38"/>
      <c r="T101" s="38"/>
      <c r="U101" s="38"/>
      <c r="V101" s="38"/>
      <c r="W101" s="37"/>
      <c r="X101" s="38"/>
      <c r="Y101" s="38"/>
      <c r="Z101" s="38"/>
      <c r="AA101" s="38"/>
      <c r="AB101" s="38"/>
      <c r="AC101" s="37"/>
      <c r="AD101" s="38"/>
      <c r="AE101" s="38"/>
      <c r="AF101" s="38"/>
      <c r="AG101" s="38"/>
      <c r="AH101" s="38"/>
      <c r="AI101" s="37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13">
        <v>4</v>
      </c>
      <c r="DF101" s="17">
        <v>10000</v>
      </c>
      <c r="DG101" s="17">
        <v>50000</v>
      </c>
      <c r="DH101" s="18">
        <v>28</v>
      </c>
      <c r="DI101" s="18">
        <v>75</v>
      </c>
      <c r="DJ101" s="19" t="e">
        <f>IF(AND(DJ95&gt;DF101,DJ95&lt;=DG101),(DI101-DH101)/(DG101-DF101)*(DJ95-DF101)+DH101,0)</f>
        <v>#REF!</v>
      </c>
    </row>
    <row r="102" spans="1:114">
      <c r="A102" s="37"/>
      <c r="B102" s="38"/>
      <c r="C102" s="38"/>
      <c r="D102" s="38"/>
      <c r="E102" s="38"/>
      <c r="F102" s="38"/>
      <c r="G102" s="38"/>
      <c r="H102" s="37"/>
      <c r="I102" s="38"/>
      <c r="J102" s="38"/>
      <c r="K102" s="38"/>
      <c r="L102" s="38"/>
      <c r="M102" s="38"/>
      <c r="N102" s="38"/>
      <c r="O102" s="37"/>
      <c r="P102" s="38"/>
      <c r="Q102" s="38"/>
      <c r="R102" s="38"/>
      <c r="S102" s="38"/>
      <c r="T102" s="38"/>
      <c r="U102" s="38"/>
      <c r="V102" s="38"/>
      <c r="W102" s="37"/>
      <c r="X102" s="38"/>
      <c r="Y102" s="38"/>
      <c r="Z102" s="38"/>
      <c r="AA102" s="38"/>
      <c r="AB102" s="38"/>
      <c r="AC102" s="37"/>
      <c r="AD102" s="38"/>
      <c r="AE102" s="38"/>
      <c r="AF102" s="38"/>
      <c r="AG102" s="38"/>
      <c r="AH102" s="38"/>
      <c r="AI102" s="37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13">
        <v>5</v>
      </c>
      <c r="DF102" s="20">
        <v>50000</v>
      </c>
      <c r="DG102" s="20">
        <v>100000</v>
      </c>
      <c r="DH102" s="21">
        <v>75</v>
      </c>
      <c r="DI102" s="21">
        <v>110</v>
      </c>
      <c r="DJ102" s="19" t="e">
        <f>IF(AND(DJ95&gt;DF102,DJ95&lt;=DG102),(DI102-DH102)/(DG102-DF102)*(DJ95-DF102)+DH102,0)</f>
        <v>#REF!</v>
      </c>
    </row>
    <row r="103" spans="1:114">
      <c r="A103" s="37"/>
      <c r="B103" s="38"/>
      <c r="C103" s="38"/>
      <c r="D103" s="38"/>
      <c r="E103" s="38"/>
      <c r="F103" s="38"/>
      <c r="G103" s="38"/>
      <c r="H103" s="37"/>
      <c r="I103" s="38"/>
      <c r="J103" s="38"/>
      <c r="K103" s="38"/>
      <c r="L103" s="38"/>
      <c r="M103" s="38"/>
      <c r="N103" s="38"/>
      <c r="O103" s="37"/>
      <c r="P103" s="38"/>
      <c r="Q103" s="38"/>
      <c r="R103" s="38"/>
      <c r="S103" s="38"/>
      <c r="T103" s="38"/>
      <c r="U103" s="38"/>
      <c r="V103" s="38"/>
      <c r="W103" s="37"/>
      <c r="X103" s="38"/>
      <c r="Y103" s="38"/>
      <c r="Z103" s="38"/>
      <c r="AA103" s="38"/>
      <c r="AB103" s="38"/>
      <c r="AC103" s="37"/>
      <c r="AD103" s="38"/>
      <c r="AE103" s="38"/>
      <c r="AF103" s="38"/>
      <c r="AG103" s="38"/>
      <c r="AH103" s="38"/>
      <c r="AI103" s="37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47" t="s">
        <v>223</v>
      </c>
      <c r="CL103" s="1"/>
      <c r="CM103" s="1"/>
      <c r="CN103" s="1"/>
      <c r="CO103" s="1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13">
        <v>6</v>
      </c>
      <c r="DF103" s="17">
        <v>100000</v>
      </c>
      <c r="DG103" s="17">
        <v>500000</v>
      </c>
      <c r="DH103" s="18">
        <v>110</v>
      </c>
      <c r="DI103" s="18">
        <v>200</v>
      </c>
      <c r="DJ103" s="19" t="e">
        <f>IF(AND(DJ95&gt;DF103,DJ95&lt;=DG103),(DI103-DH103)/(DG103-DF103)*(DJ95-DF103)+DH103,0)</f>
        <v>#REF!</v>
      </c>
    </row>
    <row r="104" spans="1:114">
      <c r="A104" s="37"/>
      <c r="B104" s="38"/>
      <c r="C104" s="38"/>
      <c r="D104" s="38"/>
      <c r="E104" s="38"/>
      <c r="F104" s="38"/>
      <c r="G104" s="38"/>
      <c r="H104" s="37"/>
      <c r="I104" s="38"/>
      <c r="J104" s="38"/>
      <c r="K104" s="38"/>
      <c r="L104" s="38"/>
      <c r="M104" s="38"/>
      <c r="N104" s="38"/>
      <c r="O104" s="37"/>
      <c r="P104" s="38"/>
      <c r="Q104" s="38"/>
      <c r="R104" s="38"/>
      <c r="S104" s="38"/>
      <c r="T104" s="38"/>
      <c r="U104" s="38"/>
      <c r="V104" s="38"/>
      <c r="W104" s="37"/>
      <c r="X104" s="38"/>
      <c r="Y104" s="38"/>
      <c r="Z104" s="38"/>
      <c r="AA104" s="38"/>
      <c r="AB104" s="38"/>
      <c r="AC104" s="37"/>
      <c r="AD104" s="38"/>
      <c r="AE104" s="38"/>
      <c r="AF104" s="38"/>
      <c r="AG104" s="38"/>
      <c r="AH104" s="38"/>
      <c r="AI104" s="37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167"/>
      <c r="CL104" s="168"/>
      <c r="CM104" s="169" t="s">
        <v>224</v>
      </c>
      <c r="CN104" s="168"/>
      <c r="CO104" s="16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13">
        <v>7</v>
      </c>
      <c r="DF104" s="17">
        <v>500000</v>
      </c>
      <c r="DG104" s="186" t="s">
        <v>101</v>
      </c>
      <c r="DH104" s="18">
        <v>200</v>
      </c>
      <c r="DI104" s="18">
        <v>250</v>
      </c>
      <c r="DJ104" s="19" t="e">
        <f>IF((DJ95&gt;DF104),DJ95*DI104,0)</f>
        <v>#REF!</v>
      </c>
    </row>
    <row r="105" spans="1:114">
      <c r="A105" s="37"/>
      <c r="B105" s="38"/>
      <c r="C105" s="38"/>
      <c r="D105" s="38"/>
      <c r="E105" s="38"/>
      <c r="F105" s="38"/>
      <c r="G105" s="38"/>
      <c r="H105" s="37"/>
      <c r="I105" s="38"/>
      <c r="J105" s="38"/>
      <c r="K105" s="38"/>
      <c r="L105" s="38"/>
      <c r="M105" s="38"/>
      <c r="N105" s="38"/>
      <c r="O105" s="37"/>
      <c r="P105" s="38"/>
      <c r="Q105" s="38"/>
      <c r="R105" s="38"/>
      <c r="S105" s="38"/>
      <c r="T105" s="38"/>
      <c r="U105" s="38"/>
      <c r="V105" s="38"/>
      <c r="W105" s="37"/>
      <c r="X105" s="38"/>
      <c r="Y105" s="38"/>
      <c r="Z105" s="38"/>
      <c r="AA105" s="38"/>
      <c r="AB105" s="38"/>
      <c r="AC105" s="37"/>
      <c r="AD105" s="38"/>
      <c r="AE105" s="38"/>
      <c r="AF105" s="38"/>
      <c r="AG105" s="38"/>
      <c r="AH105" s="38"/>
      <c r="AI105" s="37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170"/>
      <c r="CL105" s="171" t="s">
        <v>225</v>
      </c>
      <c r="CM105" s="171" t="s">
        <v>67</v>
      </c>
      <c r="CN105" s="171" t="s">
        <v>68</v>
      </c>
      <c r="CO105" s="172" t="s">
        <v>226</v>
      </c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13"/>
      <c r="DF105" s="17"/>
      <c r="DG105" s="17"/>
      <c r="DH105" s="18"/>
      <c r="DI105" s="18"/>
      <c r="DJ105" s="19"/>
    </row>
    <row r="106" spans="1:114">
      <c r="A106" s="37"/>
      <c r="B106" s="38"/>
      <c r="C106" s="38"/>
      <c r="D106" s="38"/>
      <c r="E106" s="38"/>
      <c r="F106" s="38"/>
      <c r="G106" s="38"/>
      <c r="H106" s="37"/>
      <c r="I106" s="38"/>
      <c r="J106" s="38"/>
      <c r="K106" s="38"/>
      <c r="L106" s="38"/>
      <c r="M106" s="38"/>
      <c r="N106" s="38"/>
      <c r="O106" s="37"/>
      <c r="P106" s="38"/>
      <c r="Q106" s="38"/>
      <c r="R106" s="38"/>
      <c r="S106" s="38"/>
      <c r="T106" s="38"/>
      <c r="U106" s="38"/>
      <c r="V106" s="38"/>
      <c r="W106" s="37"/>
      <c r="X106" s="38"/>
      <c r="Y106" s="38"/>
      <c r="Z106" s="38"/>
      <c r="AA106" s="38"/>
      <c r="AB106" s="38"/>
      <c r="AC106" s="37"/>
      <c r="AD106" s="38"/>
      <c r="AE106" s="38"/>
      <c r="AF106" s="38"/>
      <c r="AG106" s="38"/>
      <c r="AH106" s="38"/>
      <c r="AI106" s="37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173" t="s">
        <v>227</v>
      </c>
      <c r="CL106" s="174">
        <v>100</v>
      </c>
      <c r="CM106" s="175">
        <v>0.0036</v>
      </c>
      <c r="CN106" s="176" t="e">
        <f>IF((CO106-CL106)&gt;0,CL106*CM106,CO106*CM106)</f>
        <v>#REF!</v>
      </c>
      <c r="CO106" s="177" t="e">
        <f>BW4</f>
        <v>#REF!</v>
      </c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13"/>
      <c r="DF106" s="38"/>
      <c r="DG106" s="23" t="s">
        <v>218</v>
      </c>
      <c r="DH106" s="24"/>
      <c r="DI106" s="24"/>
      <c r="DJ106" s="26" t="e">
        <f>SUM(DJ98:DJ104)</f>
        <v>#REF!</v>
      </c>
    </row>
    <row r="107" spans="1:114">
      <c r="A107" s="37"/>
      <c r="B107" s="38"/>
      <c r="C107" s="38"/>
      <c r="D107" s="38"/>
      <c r="E107" s="38"/>
      <c r="F107" s="38"/>
      <c r="G107" s="38"/>
      <c r="H107" s="37"/>
      <c r="I107" s="38"/>
      <c r="J107" s="38"/>
      <c r="K107" s="38"/>
      <c r="L107" s="38"/>
      <c r="M107" s="38"/>
      <c r="N107" s="38"/>
      <c r="O107" s="37"/>
      <c r="P107" s="38"/>
      <c r="Q107" s="38"/>
      <c r="R107" s="38"/>
      <c r="S107" s="38"/>
      <c r="T107" s="38"/>
      <c r="U107" s="38"/>
      <c r="V107" s="38"/>
      <c r="W107" s="37"/>
      <c r="X107" s="38"/>
      <c r="Y107" s="38"/>
      <c r="Z107" s="38"/>
      <c r="AA107" s="38"/>
      <c r="AB107" s="38"/>
      <c r="AC107" s="37"/>
      <c r="AD107" s="38"/>
      <c r="AE107" s="38"/>
      <c r="AF107" s="38"/>
      <c r="AG107" s="38"/>
      <c r="AH107" s="38"/>
      <c r="AI107" s="37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173" t="s">
        <v>228</v>
      </c>
      <c r="CL107" s="174">
        <v>500</v>
      </c>
      <c r="CM107" s="175">
        <v>0.0028</v>
      </c>
      <c r="CN107" s="176" t="e">
        <f>IF((CO106-CL107)&gt;0,(CL107-CL106)*CM107,IF((CO106-CL106)*CM107&gt;0,(CO106-CL106)*CM107,0))</f>
        <v>#REF!</v>
      </c>
      <c r="CO107" s="17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13"/>
      <c r="DF107" s="17"/>
      <c r="DG107" s="27" t="s">
        <v>219</v>
      </c>
      <c r="DH107" s="24"/>
      <c r="DI107" s="24"/>
      <c r="DJ107" s="29">
        <v>0.7</v>
      </c>
    </row>
    <row r="108" spans="1:114">
      <c r="A108" s="37"/>
      <c r="B108" s="38"/>
      <c r="C108" s="38"/>
      <c r="D108" s="38"/>
      <c r="E108" s="38"/>
      <c r="F108" s="38"/>
      <c r="G108" s="38"/>
      <c r="H108" s="37"/>
      <c r="I108" s="38"/>
      <c r="J108" s="38"/>
      <c r="K108" s="38"/>
      <c r="L108" s="38"/>
      <c r="M108" s="38"/>
      <c r="N108" s="38"/>
      <c r="O108" s="37"/>
      <c r="P108" s="38"/>
      <c r="Q108" s="38"/>
      <c r="R108" s="38"/>
      <c r="S108" s="38"/>
      <c r="T108" s="38"/>
      <c r="U108" s="38"/>
      <c r="V108" s="38"/>
      <c r="W108" s="37"/>
      <c r="X108" s="38"/>
      <c r="Y108" s="38"/>
      <c r="Z108" s="38"/>
      <c r="AA108" s="38"/>
      <c r="AB108" s="38"/>
      <c r="AC108" s="37"/>
      <c r="AD108" s="38"/>
      <c r="AE108" s="38"/>
      <c r="AF108" s="38"/>
      <c r="AG108" s="38"/>
      <c r="AH108" s="38"/>
      <c r="AI108" s="37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173" t="s">
        <v>229</v>
      </c>
      <c r="CL108" s="174">
        <v>1000</v>
      </c>
      <c r="CM108" s="175">
        <v>0.0022</v>
      </c>
      <c r="CN108" s="176" t="e">
        <f>IF((CO106-CL108)&gt;0,(CL108-CL107)*CM108,IF((CO106-CL107)*CM108&gt;0,(CO106-CL107)*CM108,0))</f>
        <v>#REF!</v>
      </c>
      <c r="CO108" s="17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13"/>
      <c r="DF108" s="17"/>
      <c r="DG108" s="27" t="s">
        <v>220</v>
      </c>
      <c r="DH108" s="24"/>
      <c r="DI108" s="24"/>
      <c r="DJ108" s="29">
        <v>1.2</v>
      </c>
    </row>
    <row r="109" spans="1:114">
      <c r="A109" s="37"/>
      <c r="B109" s="38"/>
      <c r="C109" s="38"/>
      <c r="D109" s="38"/>
      <c r="E109" s="38"/>
      <c r="F109" s="38"/>
      <c r="G109" s="38"/>
      <c r="H109" s="37"/>
      <c r="I109" s="38"/>
      <c r="J109" s="38"/>
      <c r="K109" s="38"/>
      <c r="L109" s="38"/>
      <c r="M109" s="38"/>
      <c r="N109" s="38"/>
      <c r="O109" s="37"/>
      <c r="P109" s="38"/>
      <c r="Q109" s="38"/>
      <c r="R109" s="38"/>
      <c r="S109" s="38"/>
      <c r="T109" s="38"/>
      <c r="U109" s="38"/>
      <c r="V109" s="38"/>
      <c r="W109" s="37"/>
      <c r="X109" s="38"/>
      <c r="Y109" s="38"/>
      <c r="Z109" s="38"/>
      <c r="AA109" s="38"/>
      <c r="AB109" s="38"/>
      <c r="AC109" s="37"/>
      <c r="AD109" s="38"/>
      <c r="AE109" s="38"/>
      <c r="AF109" s="38"/>
      <c r="AG109" s="38"/>
      <c r="AH109" s="38"/>
      <c r="AI109" s="37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173" t="s">
        <v>230</v>
      </c>
      <c r="CL109" s="174">
        <v>3000</v>
      </c>
      <c r="CM109" s="179">
        <v>0.0018</v>
      </c>
      <c r="CN109" s="176" t="e">
        <f>IF((CO106-CL109)&gt;0,(CL109-CL108)*CM109,IF((CO106-CL108)*CM109&gt;0,(CO106-CL108)*CM109,0))</f>
        <v>#REF!</v>
      </c>
      <c r="CO109" s="17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168"/>
      <c r="DF109" s="168"/>
      <c r="DG109" s="168"/>
      <c r="DH109" s="168"/>
      <c r="DI109" s="168"/>
      <c r="DJ109" s="168"/>
    </row>
    <row r="110" spans="1:114">
      <c r="A110" s="37"/>
      <c r="B110" s="38"/>
      <c r="C110" s="38"/>
      <c r="D110" s="38"/>
      <c r="E110" s="38"/>
      <c r="F110" s="38"/>
      <c r="G110" s="38"/>
      <c r="H110" s="37"/>
      <c r="I110" s="38"/>
      <c r="J110" s="38"/>
      <c r="K110" s="38"/>
      <c r="L110" s="38"/>
      <c r="M110" s="38"/>
      <c r="N110" s="38"/>
      <c r="O110" s="37"/>
      <c r="P110" s="38"/>
      <c r="Q110" s="38"/>
      <c r="R110" s="38"/>
      <c r="S110" s="38"/>
      <c r="T110" s="38"/>
      <c r="U110" s="38"/>
      <c r="V110" s="38"/>
      <c r="W110" s="37"/>
      <c r="X110" s="38"/>
      <c r="Y110" s="38"/>
      <c r="Z110" s="38"/>
      <c r="AA110" s="38"/>
      <c r="AB110" s="38"/>
      <c r="AC110" s="37"/>
      <c r="AD110" s="38"/>
      <c r="AE110" s="38"/>
      <c r="AF110" s="38"/>
      <c r="AG110" s="38"/>
      <c r="AH110" s="38"/>
      <c r="AI110" s="37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173" t="s">
        <v>231</v>
      </c>
      <c r="CL110" s="174">
        <v>5000</v>
      </c>
      <c r="CM110" s="175">
        <v>0.0015</v>
      </c>
      <c r="CN110" s="176" t="e">
        <f>IF((CO106-CL110)&gt;0,(CL110-CL109)*CM110,IF((CO106-CL109)*CM110&gt;0,(CO106-CL109)*CM110,0))</f>
        <v>#REF!</v>
      </c>
      <c r="CO110" s="17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1" t="s">
        <v>232</v>
      </c>
      <c r="DF110" s="1"/>
      <c r="DG110" s="1"/>
      <c r="DH110" s="1"/>
      <c r="DI110" s="1"/>
      <c r="DJ110" s="1"/>
    </row>
    <row r="111" spans="1:114">
      <c r="A111" s="37"/>
      <c r="B111" s="38"/>
      <c r="C111" s="38"/>
      <c r="D111" s="38"/>
      <c r="E111" s="38"/>
      <c r="F111" s="38"/>
      <c r="G111" s="38"/>
      <c r="H111" s="37"/>
      <c r="I111" s="38"/>
      <c r="J111" s="38"/>
      <c r="K111" s="38"/>
      <c r="L111" s="38"/>
      <c r="M111" s="38"/>
      <c r="N111" s="38"/>
      <c r="O111" s="37"/>
      <c r="P111" s="38"/>
      <c r="Q111" s="38"/>
      <c r="R111" s="38"/>
      <c r="S111" s="38"/>
      <c r="T111" s="38"/>
      <c r="U111" s="38"/>
      <c r="V111" s="38"/>
      <c r="W111" s="37"/>
      <c r="X111" s="38"/>
      <c r="Y111" s="38"/>
      <c r="Z111" s="38"/>
      <c r="AA111" s="38"/>
      <c r="AB111" s="38"/>
      <c r="AC111" s="37"/>
      <c r="AD111" s="38"/>
      <c r="AE111" s="38"/>
      <c r="AF111" s="38"/>
      <c r="AG111" s="38"/>
      <c r="AH111" s="38"/>
      <c r="AI111" s="37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173" t="s">
        <v>233</v>
      </c>
      <c r="CL111" s="174">
        <v>10000</v>
      </c>
      <c r="CM111" s="175">
        <v>0.0012</v>
      </c>
      <c r="CN111" s="176" t="e">
        <f>IF((CO106-CL111)&gt;0,(CL111-CL110)*CM111,IF((CO106-CL110)*CM111&gt;0,(CO106-CL110)*CM111,0))</f>
        <v>#REF!</v>
      </c>
      <c r="CO111" s="17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4" t="s">
        <v>212</v>
      </c>
      <c r="DF111" s="5"/>
      <c r="DG111" s="5"/>
      <c r="DH111" s="5"/>
      <c r="DI111" s="5"/>
      <c r="DJ111" s="187" t="e">
        <f>DJ95</f>
        <v>#REF!</v>
      </c>
    </row>
    <row r="112" spans="1:114">
      <c r="A112" s="37"/>
      <c r="B112" s="38"/>
      <c r="C112" s="38"/>
      <c r="D112" s="38"/>
      <c r="E112" s="38"/>
      <c r="F112" s="38"/>
      <c r="G112" s="38"/>
      <c r="H112" s="37"/>
      <c r="I112" s="38"/>
      <c r="J112" s="38"/>
      <c r="K112" s="38"/>
      <c r="L112" s="38"/>
      <c r="M112" s="38"/>
      <c r="N112" s="38"/>
      <c r="O112" s="37"/>
      <c r="P112" s="38"/>
      <c r="Q112" s="38"/>
      <c r="R112" s="38"/>
      <c r="S112" s="38"/>
      <c r="T112" s="38"/>
      <c r="U112" s="38"/>
      <c r="V112" s="38"/>
      <c r="W112" s="37"/>
      <c r="X112" s="38"/>
      <c r="Y112" s="38"/>
      <c r="Z112" s="38"/>
      <c r="AA112" s="38"/>
      <c r="AB112" s="38"/>
      <c r="AC112" s="37"/>
      <c r="AD112" s="38"/>
      <c r="AE112" s="38"/>
      <c r="AF112" s="38"/>
      <c r="AG112" s="38"/>
      <c r="AH112" s="38"/>
      <c r="AI112" s="37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180" t="s">
        <v>113</v>
      </c>
      <c r="CL112" s="174">
        <v>10000</v>
      </c>
      <c r="CM112" s="175">
        <v>0.0009</v>
      </c>
      <c r="CN112" s="176" t="e">
        <f>IF((CO106-CL112)&gt;0,(CO106-CL111)*CM112,0)</f>
        <v>#REF!</v>
      </c>
      <c r="CO112" s="17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7" t="s">
        <v>234</v>
      </c>
      <c r="DF112" s="8"/>
      <c r="DG112" s="8"/>
      <c r="DH112" s="8"/>
      <c r="DI112" s="8"/>
      <c r="DJ112" s="44" t="e">
        <f>DJ122*DJ123*DJ124</f>
        <v>#REF!</v>
      </c>
    </row>
    <row r="113" spans="1:114">
      <c r="A113" s="37"/>
      <c r="B113" s="38"/>
      <c r="C113" s="38"/>
      <c r="D113" s="38"/>
      <c r="E113" s="38"/>
      <c r="F113" s="38"/>
      <c r="G113" s="38"/>
      <c r="H113" s="37"/>
      <c r="I113" s="38"/>
      <c r="J113" s="38"/>
      <c r="K113" s="38"/>
      <c r="L113" s="38"/>
      <c r="M113" s="38"/>
      <c r="N113" s="38"/>
      <c r="O113" s="37"/>
      <c r="P113" s="38"/>
      <c r="Q113" s="38"/>
      <c r="R113" s="38"/>
      <c r="S113" s="38"/>
      <c r="T113" s="38"/>
      <c r="U113" s="38"/>
      <c r="V113" s="38"/>
      <c r="W113" s="37"/>
      <c r="X113" s="38"/>
      <c r="Y113" s="38"/>
      <c r="Z113" s="38"/>
      <c r="AA113" s="38"/>
      <c r="AB113" s="38"/>
      <c r="AC113" s="37"/>
      <c r="AD113" s="38"/>
      <c r="AE113" s="38"/>
      <c r="AF113" s="38"/>
      <c r="AG113" s="38"/>
      <c r="AH113" s="38"/>
      <c r="AI113" s="37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181"/>
      <c r="CL113" s="182" t="s">
        <v>119</v>
      </c>
      <c r="CM113" s="183"/>
      <c r="CN113" s="184" t="e">
        <f>SUM(CN106:CN112)</f>
        <v>#REF!</v>
      </c>
      <c r="CO113" s="185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13" t="s">
        <v>2</v>
      </c>
      <c r="DF113" s="14" t="s">
        <v>214</v>
      </c>
      <c r="DG113" s="14"/>
      <c r="DH113" s="14" t="s">
        <v>215</v>
      </c>
      <c r="DI113" s="14"/>
      <c r="DJ113" s="16" t="s">
        <v>216</v>
      </c>
    </row>
    <row r="114" spans="1:114">
      <c r="A114" s="37"/>
      <c r="B114" s="38"/>
      <c r="C114" s="38"/>
      <c r="D114" s="38"/>
      <c r="E114" s="38"/>
      <c r="F114" s="38"/>
      <c r="G114" s="38"/>
      <c r="H114" s="37"/>
      <c r="I114" s="38"/>
      <c r="J114" s="38"/>
      <c r="K114" s="38"/>
      <c r="L114" s="38"/>
      <c r="M114" s="38"/>
      <c r="N114" s="38"/>
      <c r="O114" s="37"/>
      <c r="P114" s="38"/>
      <c r="Q114" s="38"/>
      <c r="R114" s="38"/>
      <c r="S114" s="38"/>
      <c r="T114" s="38"/>
      <c r="U114" s="38"/>
      <c r="V114" s="38"/>
      <c r="W114" s="37"/>
      <c r="X114" s="38"/>
      <c r="Y114" s="38"/>
      <c r="Z114" s="38"/>
      <c r="AA114" s="38"/>
      <c r="AB114" s="38"/>
      <c r="AC114" s="37"/>
      <c r="AD114" s="38"/>
      <c r="AE114" s="38"/>
      <c r="AF114" s="38"/>
      <c r="AG114" s="38"/>
      <c r="AH114" s="38"/>
      <c r="AI114" s="37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13">
        <v>1</v>
      </c>
      <c r="DF114" s="17">
        <v>0</v>
      </c>
      <c r="DG114" s="17">
        <v>1000</v>
      </c>
      <c r="DH114" s="18">
        <v>1</v>
      </c>
      <c r="DI114" s="45">
        <v>1.6</v>
      </c>
      <c r="DJ114" s="19" t="e">
        <f>IF(AND(DJ111&gt;DF114,DJ111&lt;=DG114),(DI114-DH114)/(DG114-DF114)*(DJ111-DF114)+DH114,0)</f>
        <v>#REF!</v>
      </c>
    </row>
    <row r="115" spans="1:114">
      <c r="A115" s="37"/>
      <c r="B115" s="38"/>
      <c r="C115" s="38"/>
      <c r="D115" s="38"/>
      <c r="E115" s="38"/>
      <c r="F115" s="38"/>
      <c r="G115" s="38"/>
      <c r="H115" s="37"/>
      <c r="I115" s="38"/>
      <c r="J115" s="38"/>
      <c r="K115" s="38"/>
      <c r="L115" s="38"/>
      <c r="M115" s="38"/>
      <c r="N115" s="38"/>
      <c r="O115" s="37"/>
      <c r="P115" s="38"/>
      <c r="Q115" s="38"/>
      <c r="R115" s="38"/>
      <c r="S115" s="38"/>
      <c r="T115" s="38"/>
      <c r="U115" s="38"/>
      <c r="V115" s="38"/>
      <c r="W115" s="37"/>
      <c r="X115" s="38"/>
      <c r="Y115" s="38"/>
      <c r="Z115" s="38"/>
      <c r="AA115" s="38"/>
      <c r="AB115" s="38"/>
      <c r="AC115" s="37"/>
      <c r="AD115" s="38"/>
      <c r="AE115" s="38"/>
      <c r="AF115" s="38"/>
      <c r="AG115" s="38"/>
      <c r="AH115" s="38"/>
      <c r="AI115" s="37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13">
        <v>2</v>
      </c>
      <c r="DF115" s="17">
        <v>1000</v>
      </c>
      <c r="DG115" s="17">
        <v>3000</v>
      </c>
      <c r="DH115" s="18">
        <v>1.6</v>
      </c>
      <c r="DI115" s="18">
        <v>4</v>
      </c>
      <c r="DJ115" s="19" t="e">
        <f>IF(AND(DJ111&gt;DF115,DJ111&lt;=DG115),(DI115-DH115)/(DG115-DF115)*(DJ111-DF115)+DH115,0)</f>
        <v>#REF!</v>
      </c>
    </row>
    <row r="116" spans="1:114">
      <c r="A116" s="37"/>
      <c r="B116" s="38"/>
      <c r="C116" s="38"/>
      <c r="D116" s="38"/>
      <c r="E116" s="38"/>
      <c r="F116" s="38"/>
      <c r="G116" s="38"/>
      <c r="H116" s="37"/>
      <c r="I116" s="38"/>
      <c r="J116" s="38"/>
      <c r="K116" s="38"/>
      <c r="L116" s="38"/>
      <c r="M116" s="38"/>
      <c r="N116" s="38"/>
      <c r="O116" s="37"/>
      <c r="P116" s="38"/>
      <c r="Q116" s="38"/>
      <c r="R116" s="38"/>
      <c r="S116" s="38"/>
      <c r="T116" s="38"/>
      <c r="U116" s="38"/>
      <c r="V116" s="38"/>
      <c r="W116" s="37"/>
      <c r="X116" s="38"/>
      <c r="Y116" s="38"/>
      <c r="Z116" s="38"/>
      <c r="AA116" s="38"/>
      <c r="AB116" s="38"/>
      <c r="AC116" s="37"/>
      <c r="AD116" s="38"/>
      <c r="AE116" s="38"/>
      <c r="AF116" s="38"/>
      <c r="AG116" s="38"/>
      <c r="AH116" s="38"/>
      <c r="AI116" s="37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13">
        <v>3</v>
      </c>
      <c r="DF116" s="17">
        <v>3000</v>
      </c>
      <c r="DG116" s="17">
        <v>10000</v>
      </c>
      <c r="DH116" s="18">
        <v>4</v>
      </c>
      <c r="DI116" s="18">
        <v>8</v>
      </c>
      <c r="DJ116" s="19" t="e">
        <f>IF(AND(DJ111&gt;DF116,DJ111&lt;=DG116),(DI116-DH116)/(DG116-DF116)*(DJ111-DF116)+DH116,0)</f>
        <v>#REF!</v>
      </c>
    </row>
    <row r="117" spans="1:114">
      <c r="A117" s="37"/>
      <c r="B117" s="38"/>
      <c r="C117" s="38"/>
      <c r="D117" s="38"/>
      <c r="E117" s="38"/>
      <c r="F117" s="38"/>
      <c r="G117" s="38"/>
      <c r="H117" s="37"/>
      <c r="I117" s="38"/>
      <c r="J117" s="38"/>
      <c r="K117" s="38"/>
      <c r="L117" s="38"/>
      <c r="M117" s="38"/>
      <c r="N117" s="38"/>
      <c r="O117" s="37"/>
      <c r="P117" s="38"/>
      <c r="Q117" s="38"/>
      <c r="R117" s="38"/>
      <c r="S117" s="38"/>
      <c r="T117" s="38"/>
      <c r="U117" s="38"/>
      <c r="V117" s="38"/>
      <c r="W117" s="37"/>
      <c r="X117" s="38"/>
      <c r="Y117" s="38"/>
      <c r="Z117" s="38"/>
      <c r="AA117" s="38"/>
      <c r="AB117" s="38"/>
      <c r="AC117" s="37"/>
      <c r="AD117" s="38"/>
      <c r="AE117" s="38"/>
      <c r="AF117" s="38"/>
      <c r="AG117" s="38"/>
      <c r="AH117" s="38"/>
      <c r="AI117" s="37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13">
        <v>4</v>
      </c>
      <c r="DF117" s="17">
        <v>10000</v>
      </c>
      <c r="DG117" s="17">
        <v>50000</v>
      </c>
      <c r="DH117" s="18">
        <v>8</v>
      </c>
      <c r="DI117" s="18">
        <v>12</v>
      </c>
      <c r="DJ117" s="19" t="e">
        <f>IF(AND(DJ111&gt;DF117,DJ111&lt;=DG117),(DI117-DH117)/(DG117-DF117)*(DJ111-DF117)+DH117,0)</f>
        <v>#REF!</v>
      </c>
    </row>
    <row r="118" spans="1:114">
      <c r="A118" s="37"/>
      <c r="B118" s="38"/>
      <c r="C118" s="38"/>
      <c r="D118" s="38"/>
      <c r="E118" s="38"/>
      <c r="F118" s="38"/>
      <c r="G118" s="38"/>
      <c r="H118" s="37"/>
      <c r="I118" s="38"/>
      <c r="J118" s="38"/>
      <c r="K118" s="38"/>
      <c r="L118" s="38"/>
      <c r="M118" s="38"/>
      <c r="N118" s="38"/>
      <c r="O118" s="37"/>
      <c r="P118" s="38"/>
      <c r="Q118" s="38"/>
      <c r="R118" s="38"/>
      <c r="S118" s="38"/>
      <c r="T118" s="38"/>
      <c r="U118" s="38"/>
      <c r="V118" s="38"/>
      <c r="W118" s="37"/>
      <c r="X118" s="38"/>
      <c r="Y118" s="38"/>
      <c r="Z118" s="38"/>
      <c r="AA118" s="38"/>
      <c r="AB118" s="38"/>
      <c r="AC118" s="37"/>
      <c r="AD118" s="38"/>
      <c r="AE118" s="38"/>
      <c r="AF118" s="38"/>
      <c r="AG118" s="38"/>
      <c r="AH118" s="38"/>
      <c r="AI118" s="37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 t="e">
        <f>(100*0.36%+500*0.28%+1000*0.22%+3000*0.18%+(CO106-3000)*0.15%)</f>
        <v>#REF!</v>
      </c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13">
        <v>5</v>
      </c>
      <c r="DF118" s="20">
        <v>50000</v>
      </c>
      <c r="DG118" s="20">
        <v>100000</v>
      </c>
      <c r="DH118" s="21">
        <v>12</v>
      </c>
      <c r="DI118" s="21">
        <v>15</v>
      </c>
      <c r="DJ118" s="19" t="e">
        <f>IF(AND(DJ111&gt;DF118,DJ111&lt;=DG118),(DI118-DH118)/(DG118-DF118)*(DJ111-DF118)+DH118,0)</f>
        <v>#REF!</v>
      </c>
    </row>
    <row r="119" spans="1:114">
      <c r="A119" s="37"/>
      <c r="B119" s="38"/>
      <c r="C119" s="38"/>
      <c r="D119" s="38"/>
      <c r="E119" s="38"/>
      <c r="F119" s="38"/>
      <c r="G119" s="38"/>
      <c r="H119" s="37"/>
      <c r="I119" s="38"/>
      <c r="J119" s="38"/>
      <c r="K119" s="38"/>
      <c r="L119" s="38"/>
      <c r="M119" s="38"/>
      <c r="N119" s="38"/>
      <c r="O119" s="37"/>
      <c r="P119" s="38"/>
      <c r="Q119" s="38"/>
      <c r="R119" s="38"/>
      <c r="S119" s="38"/>
      <c r="T119" s="38"/>
      <c r="U119" s="38"/>
      <c r="V119" s="38"/>
      <c r="W119" s="37"/>
      <c r="X119" s="38"/>
      <c r="Y119" s="38"/>
      <c r="Z119" s="38"/>
      <c r="AA119" s="38"/>
      <c r="AB119" s="38"/>
      <c r="AC119" s="37"/>
      <c r="AD119" s="38"/>
      <c r="AE119" s="38"/>
      <c r="AF119" s="38"/>
      <c r="AG119" s="38"/>
      <c r="AH119" s="38"/>
      <c r="AI119" s="37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13">
        <v>6</v>
      </c>
      <c r="DF119" s="17">
        <v>100000</v>
      </c>
      <c r="DG119" s="17">
        <v>500000</v>
      </c>
      <c r="DH119" s="18">
        <v>15</v>
      </c>
      <c r="DI119" s="18">
        <v>17</v>
      </c>
      <c r="DJ119" s="19" t="e">
        <f>IF(AND(DJ111&gt;DF119,DJ111&lt;=DG119),(DI119-DH119)/(DG119-DF119)*(DJ111-DF119)+DH119,0)</f>
        <v>#REF!</v>
      </c>
    </row>
    <row r="120" spans="1:114">
      <c r="A120" s="37"/>
      <c r="B120" s="38"/>
      <c r="C120" s="38"/>
      <c r="D120" s="38"/>
      <c r="E120" s="38"/>
      <c r="F120" s="38"/>
      <c r="G120" s="38"/>
      <c r="H120" s="37"/>
      <c r="I120" s="38"/>
      <c r="J120" s="38"/>
      <c r="K120" s="38"/>
      <c r="L120" s="38"/>
      <c r="M120" s="38"/>
      <c r="N120" s="38"/>
      <c r="O120" s="37"/>
      <c r="P120" s="38"/>
      <c r="Q120" s="38"/>
      <c r="R120" s="38"/>
      <c r="S120" s="38"/>
      <c r="T120" s="38"/>
      <c r="U120" s="38"/>
      <c r="V120" s="38"/>
      <c r="W120" s="37"/>
      <c r="X120" s="38"/>
      <c r="Y120" s="38"/>
      <c r="Z120" s="38"/>
      <c r="AA120" s="38"/>
      <c r="AB120" s="38"/>
      <c r="AC120" s="37"/>
      <c r="AD120" s="38"/>
      <c r="AE120" s="38"/>
      <c r="AF120" s="38"/>
      <c r="AG120" s="38"/>
      <c r="AH120" s="38"/>
      <c r="AI120" s="37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13">
        <v>7</v>
      </c>
      <c r="DF120" s="17">
        <v>500000</v>
      </c>
      <c r="DG120" s="186" t="s">
        <v>101</v>
      </c>
      <c r="DH120" s="18">
        <v>17</v>
      </c>
      <c r="DI120" s="18">
        <v>20</v>
      </c>
      <c r="DJ120" s="19" t="e">
        <f>IF((DJ111&gt;DF120),DJ111*DI120,0)</f>
        <v>#REF!</v>
      </c>
    </row>
    <row r="121" spans="1:114">
      <c r="A121" s="37"/>
      <c r="B121" s="38"/>
      <c r="C121" s="38"/>
      <c r="D121" s="38"/>
      <c r="E121" s="38"/>
      <c r="F121" s="38"/>
      <c r="G121" s="38"/>
      <c r="H121" s="37"/>
      <c r="I121" s="38"/>
      <c r="J121" s="38"/>
      <c r="K121" s="38"/>
      <c r="L121" s="38"/>
      <c r="M121" s="38"/>
      <c r="N121" s="38"/>
      <c r="O121" s="37"/>
      <c r="P121" s="38"/>
      <c r="Q121" s="38"/>
      <c r="R121" s="38"/>
      <c r="S121" s="38"/>
      <c r="T121" s="38"/>
      <c r="U121" s="38"/>
      <c r="V121" s="38"/>
      <c r="W121" s="37"/>
      <c r="X121" s="38"/>
      <c r="Y121" s="38"/>
      <c r="Z121" s="38"/>
      <c r="AA121" s="38"/>
      <c r="AB121" s="38"/>
      <c r="AC121" s="37"/>
      <c r="AD121" s="38"/>
      <c r="AE121" s="38"/>
      <c r="AF121" s="38"/>
      <c r="AG121" s="38"/>
      <c r="AH121" s="38"/>
      <c r="AI121" s="37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13"/>
      <c r="DF121" s="17"/>
      <c r="DG121" s="17"/>
      <c r="DH121" s="18"/>
      <c r="DI121" s="18"/>
      <c r="DJ121" s="19"/>
    </row>
    <row r="122" spans="1:114">
      <c r="A122" s="37"/>
      <c r="B122" s="38"/>
      <c r="C122" s="38"/>
      <c r="D122" s="38"/>
      <c r="E122" s="38"/>
      <c r="F122" s="38"/>
      <c r="G122" s="38"/>
      <c r="H122" s="37"/>
      <c r="I122" s="38"/>
      <c r="J122" s="38"/>
      <c r="K122" s="38"/>
      <c r="L122" s="38"/>
      <c r="M122" s="38"/>
      <c r="N122" s="38"/>
      <c r="O122" s="37"/>
      <c r="P122" s="38"/>
      <c r="Q122" s="38"/>
      <c r="R122" s="38"/>
      <c r="S122" s="38"/>
      <c r="T122" s="38"/>
      <c r="U122" s="38"/>
      <c r="V122" s="38"/>
      <c r="W122" s="37"/>
      <c r="X122" s="38"/>
      <c r="Y122" s="38"/>
      <c r="Z122" s="38"/>
      <c r="AA122" s="38"/>
      <c r="AB122" s="38"/>
      <c r="AC122" s="37"/>
      <c r="AD122" s="38"/>
      <c r="AE122" s="38"/>
      <c r="AF122" s="38"/>
      <c r="AG122" s="38"/>
      <c r="AH122" s="38"/>
      <c r="AI122" s="37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13"/>
      <c r="DF122" s="38"/>
      <c r="DG122" s="23" t="s">
        <v>218</v>
      </c>
      <c r="DH122" s="24"/>
      <c r="DI122" s="24"/>
      <c r="DJ122" s="26" t="e">
        <f>SUM(DJ114:DJ120)</f>
        <v>#REF!</v>
      </c>
    </row>
    <row r="123" spans="1:114">
      <c r="A123" s="37"/>
      <c r="B123" s="38"/>
      <c r="C123" s="38"/>
      <c r="D123" s="38"/>
      <c r="E123" s="38"/>
      <c r="F123" s="38"/>
      <c r="G123" s="38"/>
      <c r="H123" s="37"/>
      <c r="I123" s="38"/>
      <c r="J123" s="38"/>
      <c r="K123" s="38"/>
      <c r="L123" s="38"/>
      <c r="M123" s="38"/>
      <c r="N123" s="38"/>
      <c r="O123" s="37"/>
      <c r="P123" s="38"/>
      <c r="Q123" s="38"/>
      <c r="R123" s="38"/>
      <c r="S123" s="38"/>
      <c r="T123" s="38"/>
      <c r="U123" s="38"/>
      <c r="V123" s="38"/>
      <c r="W123" s="37"/>
      <c r="X123" s="38"/>
      <c r="Y123" s="38"/>
      <c r="Z123" s="38"/>
      <c r="AA123" s="38"/>
      <c r="AB123" s="38"/>
      <c r="AC123" s="37"/>
      <c r="AD123" s="38"/>
      <c r="AE123" s="38"/>
      <c r="AF123" s="38"/>
      <c r="AG123" s="38"/>
      <c r="AH123" s="38"/>
      <c r="AI123" s="37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13"/>
      <c r="DF123" s="17"/>
      <c r="DG123" s="27" t="s">
        <v>219</v>
      </c>
      <c r="DH123" s="24"/>
      <c r="DI123" s="24"/>
      <c r="DJ123" s="29">
        <v>0.7</v>
      </c>
    </row>
    <row r="124" spans="1:114">
      <c r="A124" s="37"/>
      <c r="B124" s="38"/>
      <c r="C124" s="38"/>
      <c r="D124" s="38"/>
      <c r="E124" s="38"/>
      <c r="F124" s="38"/>
      <c r="G124" s="38"/>
      <c r="H124" s="37"/>
      <c r="I124" s="38"/>
      <c r="J124" s="38"/>
      <c r="K124" s="38"/>
      <c r="L124" s="38"/>
      <c r="M124" s="38"/>
      <c r="N124" s="38"/>
      <c r="O124" s="37"/>
      <c r="P124" s="38"/>
      <c r="Q124" s="38"/>
      <c r="R124" s="38"/>
      <c r="S124" s="38"/>
      <c r="T124" s="38"/>
      <c r="U124" s="38"/>
      <c r="V124" s="38"/>
      <c r="W124" s="37"/>
      <c r="X124" s="38"/>
      <c r="Y124" s="38"/>
      <c r="Z124" s="38"/>
      <c r="AA124" s="38"/>
      <c r="AB124" s="38"/>
      <c r="AC124" s="37"/>
      <c r="AD124" s="38"/>
      <c r="AE124" s="38"/>
      <c r="AF124" s="38"/>
      <c r="AG124" s="38"/>
      <c r="AH124" s="38"/>
      <c r="AI124" s="37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13"/>
      <c r="DF124" s="17"/>
      <c r="DG124" s="27" t="s">
        <v>220</v>
      </c>
      <c r="DH124" s="24"/>
      <c r="DI124" s="24"/>
      <c r="DJ124" s="29">
        <v>1.2</v>
      </c>
    </row>
    <row r="125" spans="1:114">
      <c r="A125" s="37"/>
      <c r="B125" s="38"/>
      <c r="C125" s="38"/>
      <c r="D125" s="38"/>
      <c r="E125" s="38"/>
      <c r="F125" s="38"/>
      <c r="G125" s="38"/>
      <c r="H125" s="37"/>
      <c r="I125" s="38"/>
      <c r="J125" s="38"/>
      <c r="K125" s="38"/>
      <c r="L125" s="38"/>
      <c r="M125" s="38"/>
      <c r="N125" s="38"/>
      <c r="O125" s="37"/>
      <c r="P125" s="38"/>
      <c r="Q125" s="38"/>
      <c r="R125" s="38"/>
      <c r="S125" s="38"/>
      <c r="T125" s="38"/>
      <c r="U125" s="38"/>
      <c r="V125" s="38"/>
      <c r="W125" s="37"/>
      <c r="X125" s="38"/>
      <c r="Y125" s="38"/>
      <c r="Z125" s="38"/>
      <c r="AA125" s="38"/>
      <c r="AB125" s="38"/>
      <c r="AC125" s="37"/>
      <c r="AD125" s="38"/>
      <c r="AE125" s="38"/>
      <c r="AF125" s="38"/>
      <c r="AG125" s="38"/>
      <c r="AH125" s="38"/>
      <c r="AI125" s="37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168"/>
      <c r="DF125" s="168"/>
      <c r="DG125" s="168"/>
      <c r="DH125" s="168"/>
      <c r="DI125" s="168"/>
      <c r="DJ125" s="168"/>
    </row>
    <row r="126" spans="1:114">
      <c r="A126" s="37"/>
      <c r="B126" s="38"/>
      <c r="C126" s="38"/>
      <c r="D126" s="38"/>
      <c r="E126" s="38"/>
      <c r="F126" s="38"/>
      <c r="G126" s="38"/>
      <c r="H126" s="37"/>
      <c r="I126" s="38"/>
      <c r="J126" s="38"/>
      <c r="K126" s="38"/>
      <c r="L126" s="38"/>
      <c r="M126" s="38"/>
      <c r="N126" s="38"/>
      <c r="O126" s="37"/>
      <c r="P126" s="38"/>
      <c r="Q126" s="38"/>
      <c r="R126" s="38"/>
      <c r="S126" s="38"/>
      <c r="T126" s="38"/>
      <c r="U126" s="38"/>
      <c r="V126" s="38"/>
      <c r="W126" s="37"/>
      <c r="X126" s="38"/>
      <c r="Y126" s="38"/>
      <c r="Z126" s="38"/>
      <c r="AA126" s="38"/>
      <c r="AB126" s="38"/>
      <c r="AC126" s="37"/>
      <c r="AD126" s="38"/>
      <c r="AE126" s="38"/>
      <c r="AF126" s="38"/>
      <c r="AG126" s="38"/>
      <c r="AH126" s="38"/>
      <c r="AI126" s="37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1" t="s">
        <v>235</v>
      </c>
      <c r="DF126" s="1"/>
      <c r="DG126" s="1"/>
      <c r="DH126" s="1"/>
      <c r="DI126" s="1"/>
      <c r="DJ126" s="1"/>
    </row>
    <row r="127" spans="1:114">
      <c r="A127" s="37"/>
      <c r="B127" s="38"/>
      <c r="C127" s="38"/>
      <c r="D127" s="38"/>
      <c r="E127" s="38"/>
      <c r="F127" s="38"/>
      <c r="G127" s="38"/>
      <c r="H127" s="37"/>
      <c r="I127" s="38"/>
      <c r="J127" s="38"/>
      <c r="K127" s="38"/>
      <c r="L127" s="38"/>
      <c r="M127" s="38"/>
      <c r="N127" s="38"/>
      <c r="O127" s="37"/>
      <c r="P127" s="38"/>
      <c r="Q127" s="38"/>
      <c r="R127" s="38"/>
      <c r="S127" s="38"/>
      <c r="T127" s="38"/>
      <c r="U127" s="38"/>
      <c r="V127" s="38"/>
      <c r="W127" s="37"/>
      <c r="X127" s="38"/>
      <c r="Y127" s="38"/>
      <c r="Z127" s="38"/>
      <c r="AA127" s="38"/>
      <c r="AB127" s="38"/>
      <c r="AC127" s="37"/>
      <c r="AD127" s="38"/>
      <c r="AE127" s="38"/>
      <c r="AF127" s="38"/>
      <c r="AG127" s="38"/>
      <c r="AH127" s="38"/>
      <c r="AI127" s="37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4" t="s">
        <v>212</v>
      </c>
      <c r="DF127" s="5"/>
      <c r="DG127" s="5"/>
      <c r="DH127" s="5"/>
      <c r="DI127" s="5"/>
      <c r="DJ127" s="187" t="e">
        <f>DJ111</f>
        <v>#REF!</v>
      </c>
    </row>
    <row r="128" spans="1:114">
      <c r="A128" s="37"/>
      <c r="B128" s="38"/>
      <c r="C128" s="38"/>
      <c r="D128" s="38"/>
      <c r="E128" s="38"/>
      <c r="F128" s="38"/>
      <c r="G128" s="38"/>
      <c r="H128" s="37"/>
      <c r="I128" s="38"/>
      <c r="J128" s="38"/>
      <c r="K128" s="38"/>
      <c r="L128" s="38"/>
      <c r="M128" s="38"/>
      <c r="N128" s="38"/>
      <c r="O128" s="37"/>
      <c r="P128" s="38"/>
      <c r="Q128" s="38"/>
      <c r="R128" s="38"/>
      <c r="S128" s="38"/>
      <c r="T128" s="38"/>
      <c r="U128" s="38"/>
      <c r="V128" s="38"/>
      <c r="W128" s="37"/>
      <c r="X128" s="38"/>
      <c r="Y128" s="38"/>
      <c r="Z128" s="38"/>
      <c r="AA128" s="38"/>
      <c r="AB128" s="38"/>
      <c r="AC128" s="37"/>
      <c r="AD128" s="38"/>
      <c r="AE128" s="38"/>
      <c r="AF128" s="38"/>
      <c r="AG128" s="38"/>
      <c r="AH128" s="38"/>
      <c r="AI128" s="37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7" t="s">
        <v>236</v>
      </c>
      <c r="DF128" s="8"/>
      <c r="DG128" s="8"/>
      <c r="DH128" s="8"/>
      <c r="DI128" s="8"/>
      <c r="DJ128" s="44" t="e">
        <f>DJ138*DJ139*DJ140</f>
        <v>#REF!</v>
      </c>
    </row>
    <row r="129" spans="1:114">
      <c r="A129" s="37"/>
      <c r="B129" s="38"/>
      <c r="C129" s="38"/>
      <c r="D129" s="38"/>
      <c r="E129" s="38"/>
      <c r="F129" s="38"/>
      <c r="G129" s="38"/>
      <c r="H129" s="37"/>
      <c r="I129" s="38"/>
      <c r="J129" s="38"/>
      <c r="K129" s="38"/>
      <c r="L129" s="38"/>
      <c r="M129" s="38"/>
      <c r="N129" s="38"/>
      <c r="O129" s="37"/>
      <c r="P129" s="38"/>
      <c r="Q129" s="38"/>
      <c r="R129" s="38"/>
      <c r="S129" s="38"/>
      <c r="T129" s="38"/>
      <c r="U129" s="38"/>
      <c r="V129" s="38"/>
      <c r="W129" s="37"/>
      <c r="X129" s="38"/>
      <c r="Y129" s="38"/>
      <c r="Z129" s="38"/>
      <c r="AA129" s="38"/>
      <c r="AB129" s="38"/>
      <c r="AC129" s="37"/>
      <c r="AD129" s="38"/>
      <c r="AE129" s="38"/>
      <c r="AF129" s="38"/>
      <c r="AG129" s="38"/>
      <c r="AH129" s="38"/>
      <c r="AI129" s="37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13" t="s">
        <v>2</v>
      </c>
      <c r="DF129" s="14" t="s">
        <v>214</v>
      </c>
      <c r="DG129" s="14"/>
      <c r="DH129" s="14" t="s">
        <v>215</v>
      </c>
      <c r="DI129" s="14"/>
      <c r="DJ129" s="16" t="s">
        <v>216</v>
      </c>
    </row>
    <row r="130" spans="1:114">
      <c r="A130" s="37"/>
      <c r="B130" s="38"/>
      <c r="C130" s="38"/>
      <c r="D130" s="38"/>
      <c r="E130" s="38"/>
      <c r="F130" s="38"/>
      <c r="G130" s="38"/>
      <c r="H130" s="37"/>
      <c r="I130" s="38"/>
      <c r="J130" s="38"/>
      <c r="K130" s="38"/>
      <c r="L130" s="38"/>
      <c r="M130" s="38"/>
      <c r="N130" s="38"/>
      <c r="O130" s="37"/>
      <c r="P130" s="38"/>
      <c r="Q130" s="38"/>
      <c r="R130" s="38"/>
      <c r="S130" s="38"/>
      <c r="T130" s="38"/>
      <c r="U130" s="38"/>
      <c r="V130" s="38"/>
      <c r="W130" s="37"/>
      <c r="X130" s="38"/>
      <c r="Y130" s="38"/>
      <c r="Z130" s="38"/>
      <c r="AA130" s="38"/>
      <c r="AB130" s="38"/>
      <c r="AC130" s="37"/>
      <c r="AD130" s="38"/>
      <c r="AE130" s="38"/>
      <c r="AF130" s="38"/>
      <c r="AG130" s="38"/>
      <c r="AH130" s="38"/>
      <c r="AI130" s="37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13">
        <v>1</v>
      </c>
      <c r="DF130" s="17">
        <v>0</v>
      </c>
      <c r="DG130" s="17">
        <v>1000</v>
      </c>
      <c r="DH130" s="18">
        <v>1.5</v>
      </c>
      <c r="DI130" s="45">
        <v>2.5</v>
      </c>
      <c r="DJ130" s="19" t="e">
        <f>IF(AND(DJ127&gt;DF130,DJ127&lt;=DG130),(DI130-DH130)/(DG130-DF130)*(DJ127-DF130)+DH130,0)</f>
        <v>#REF!</v>
      </c>
    </row>
    <row r="131" spans="1:114">
      <c r="A131" s="37"/>
      <c r="B131" s="38"/>
      <c r="C131" s="38"/>
      <c r="D131" s="38"/>
      <c r="E131" s="38"/>
      <c r="F131" s="38"/>
      <c r="G131" s="38"/>
      <c r="H131" s="37"/>
      <c r="I131" s="38"/>
      <c r="J131" s="38"/>
      <c r="K131" s="38"/>
      <c r="L131" s="38"/>
      <c r="M131" s="38"/>
      <c r="N131" s="38"/>
      <c r="O131" s="37"/>
      <c r="P131" s="38"/>
      <c r="Q131" s="38"/>
      <c r="R131" s="38"/>
      <c r="S131" s="38"/>
      <c r="T131" s="38"/>
      <c r="U131" s="38"/>
      <c r="V131" s="38"/>
      <c r="W131" s="37"/>
      <c r="X131" s="38"/>
      <c r="Y131" s="38"/>
      <c r="Z131" s="38"/>
      <c r="AA131" s="38"/>
      <c r="AB131" s="38"/>
      <c r="AC131" s="37"/>
      <c r="AD131" s="38"/>
      <c r="AE131" s="38"/>
      <c r="AF131" s="38"/>
      <c r="AG131" s="38"/>
      <c r="AH131" s="38"/>
      <c r="AI131" s="37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13">
        <v>2</v>
      </c>
      <c r="DF131" s="17">
        <v>1000</v>
      </c>
      <c r="DG131" s="17">
        <v>3000</v>
      </c>
      <c r="DH131" s="18">
        <v>2.5</v>
      </c>
      <c r="DI131" s="18">
        <v>5</v>
      </c>
      <c r="DJ131" s="19" t="e">
        <f>IF(AND(DJ127&gt;DF131,DJ127&lt;=DG131),(DI131-DH131)/(DG131-DF131)*(DJ127-DF131)+DH131,0)</f>
        <v>#REF!</v>
      </c>
    </row>
    <row r="132" spans="1:114">
      <c r="A132" s="37"/>
      <c r="B132" s="38"/>
      <c r="C132" s="38"/>
      <c r="D132" s="38"/>
      <c r="E132" s="38"/>
      <c r="F132" s="38"/>
      <c r="G132" s="38"/>
      <c r="H132" s="37"/>
      <c r="I132" s="38"/>
      <c r="J132" s="38"/>
      <c r="K132" s="38"/>
      <c r="L132" s="38"/>
      <c r="M132" s="38"/>
      <c r="N132" s="38"/>
      <c r="O132" s="37"/>
      <c r="P132" s="38"/>
      <c r="Q132" s="38"/>
      <c r="R132" s="38"/>
      <c r="S132" s="38"/>
      <c r="T132" s="38"/>
      <c r="U132" s="38"/>
      <c r="V132" s="38"/>
      <c r="W132" s="37"/>
      <c r="X132" s="38"/>
      <c r="Y132" s="38"/>
      <c r="Z132" s="38"/>
      <c r="AA132" s="38"/>
      <c r="AB132" s="38"/>
      <c r="AC132" s="37"/>
      <c r="AD132" s="38"/>
      <c r="AE132" s="38"/>
      <c r="AF132" s="38"/>
      <c r="AG132" s="38"/>
      <c r="AH132" s="38"/>
      <c r="AI132" s="37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13">
        <v>3</v>
      </c>
      <c r="DF132" s="17">
        <v>3000</v>
      </c>
      <c r="DG132" s="17">
        <v>10000</v>
      </c>
      <c r="DH132" s="18">
        <v>5</v>
      </c>
      <c r="DI132" s="18">
        <v>10</v>
      </c>
      <c r="DJ132" s="19" t="e">
        <f>IF(AND(DJ127&gt;DF132,DJ127&lt;=DG132),(DI132-DH132)/(DG132-DF132)*(DJ127-DF132)+DH132,0)</f>
        <v>#REF!</v>
      </c>
    </row>
    <row r="133" spans="1:114">
      <c r="A133" s="37"/>
      <c r="B133" s="38"/>
      <c r="C133" s="38"/>
      <c r="D133" s="38"/>
      <c r="E133" s="38"/>
      <c r="F133" s="38"/>
      <c r="G133" s="38"/>
      <c r="H133" s="37"/>
      <c r="I133" s="38"/>
      <c r="J133" s="38"/>
      <c r="K133" s="38"/>
      <c r="L133" s="38"/>
      <c r="M133" s="38"/>
      <c r="N133" s="38"/>
      <c r="O133" s="37"/>
      <c r="P133" s="38"/>
      <c r="Q133" s="38"/>
      <c r="R133" s="38"/>
      <c r="S133" s="38"/>
      <c r="T133" s="38"/>
      <c r="U133" s="38"/>
      <c r="V133" s="38"/>
      <c r="W133" s="37"/>
      <c r="X133" s="38"/>
      <c r="Y133" s="38"/>
      <c r="Z133" s="38"/>
      <c r="AA133" s="38"/>
      <c r="AB133" s="38"/>
      <c r="AC133" s="37"/>
      <c r="AD133" s="38"/>
      <c r="AE133" s="38"/>
      <c r="AF133" s="38"/>
      <c r="AG133" s="38"/>
      <c r="AH133" s="38"/>
      <c r="AI133" s="37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13">
        <v>4</v>
      </c>
      <c r="DF133" s="17">
        <v>10000</v>
      </c>
      <c r="DG133" s="17">
        <v>50000</v>
      </c>
      <c r="DH133" s="18">
        <v>10</v>
      </c>
      <c r="DI133" s="18">
        <v>15</v>
      </c>
      <c r="DJ133" s="19" t="e">
        <f>IF(AND(DJ127&gt;DF133,DJ127&lt;=DG133),(DI133-DH133)/(DG133-DF133)*(DJ127-DF133)+DH133,0)</f>
        <v>#REF!</v>
      </c>
    </row>
    <row r="134" spans="1:114">
      <c r="A134" s="37"/>
      <c r="B134" s="38"/>
      <c r="C134" s="38"/>
      <c r="D134" s="38"/>
      <c r="E134" s="38"/>
      <c r="F134" s="38"/>
      <c r="G134" s="38"/>
      <c r="H134" s="37"/>
      <c r="I134" s="38"/>
      <c r="J134" s="38"/>
      <c r="K134" s="38"/>
      <c r="L134" s="38"/>
      <c r="M134" s="38"/>
      <c r="N134" s="38"/>
      <c r="O134" s="37"/>
      <c r="P134" s="38"/>
      <c r="Q134" s="38"/>
      <c r="R134" s="38"/>
      <c r="S134" s="38"/>
      <c r="T134" s="38"/>
      <c r="U134" s="38"/>
      <c r="V134" s="38"/>
      <c r="W134" s="37"/>
      <c r="X134" s="38"/>
      <c r="Y134" s="38"/>
      <c r="Z134" s="38"/>
      <c r="AA134" s="38"/>
      <c r="AB134" s="38"/>
      <c r="AC134" s="37"/>
      <c r="AD134" s="38"/>
      <c r="AE134" s="38"/>
      <c r="AF134" s="38"/>
      <c r="AG134" s="38"/>
      <c r="AH134" s="38"/>
      <c r="AI134" s="37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13">
        <v>5</v>
      </c>
      <c r="DF134" s="20">
        <v>50000</v>
      </c>
      <c r="DG134" s="20">
        <v>100000</v>
      </c>
      <c r="DH134" s="21">
        <v>15</v>
      </c>
      <c r="DI134" s="21">
        <v>20</v>
      </c>
      <c r="DJ134" s="19" t="e">
        <f>IF(AND(DJ127&gt;DF134,DJ127&lt;=DG134),(DI134-DH134)/(DG134-DF134)*(DJ127-DF134)+DH134,0)</f>
        <v>#REF!</v>
      </c>
    </row>
    <row r="135" spans="1:114">
      <c r="A135" s="37"/>
      <c r="B135" s="38"/>
      <c r="C135" s="38"/>
      <c r="D135" s="38"/>
      <c r="E135" s="38"/>
      <c r="F135" s="38"/>
      <c r="G135" s="38"/>
      <c r="H135" s="37"/>
      <c r="I135" s="38"/>
      <c r="J135" s="38"/>
      <c r="K135" s="38"/>
      <c r="L135" s="38"/>
      <c r="M135" s="38"/>
      <c r="N135" s="38"/>
      <c r="O135" s="37"/>
      <c r="P135" s="38"/>
      <c r="Q135" s="38"/>
      <c r="R135" s="38"/>
      <c r="S135" s="38"/>
      <c r="T135" s="38"/>
      <c r="U135" s="38"/>
      <c r="V135" s="38"/>
      <c r="W135" s="37"/>
      <c r="X135" s="38"/>
      <c r="Y135" s="38"/>
      <c r="Z135" s="38"/>
      <c r="AA135" s="38"/>
      <c r="AB135" s="38"/>
      <c r="AC135" s="37"/>
      <c r="AD135" s="38"/>
      <c r="AE135" s="38"/>
      <c r="AF135" s="38"/>
      <c r="AG135" s="38"/>
      <c r="AH135" s="38"/>
      <c r="AI135" s="37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13">
        <v>6</v>
      </c>
      <c r="DF135" s="17">
        <v>100000</v>
      </c>
      <c r="DG135" s="17">
        <v>500000</v>
      </c>
      <c r="DH135" s="18">
        <v>20</v>
      </c>
      <c r="DI135" s="18">
        <v>25</v>
      </c>
      <c r="DJ135" s="19" t="e">
        <f>IF(AND(DJ127&gt;DF135,DJ127&lt;=DG135),(DI135-DH135)/(DG135-DF135)*(DJ127-DF135)+DH135,0)</f>
        <v>#REF!</v>
      </c>
    </row>
    <row r="136" spans="1:114">
      <c r="A136" s="37"/>
      <c r="B136" s="38"/>
      <c r="C136" s="38"/>
      <c r="D136" s="38"/>
      <c r="E136" s="38"/>
      <c r="F136" s="38"/>
      <c r="G136" s="38"/>
      <c r="H136" s="37"/>
      <c r="I136" s="38"/>
      <c r="J136" s="38"/>
      <c r="K136" s="38"/>
      <c r="L136" s="38"/>
      <c r="M136" s="38"/>
      <c r="N136" s="38"/>
      <c r="O136" s="37"/>
      <c r="P136" s="38"/>
      <c r="Q136" s="38"/>
      <c r="R136" s="38"/>
      <c r="S136" s="38"/>
      <c r="T136" s="38"/>
      <c r="U136" s="38"/>
      <c r="V136" s="38"/>
      <c r="W136" s="37"/>
      <c r="X136" s="38"/>
      <c r="Y136" s="38"/>
      <c r="Z136" s="38"/>
      <c r="AA136" s="38"/>
      <c r="AB136" s="38"/>
      <c r="AC136" s="37"/>
      <c r="AD136" s="38"/>
      <c r="AE136" s="38"/>
      <c r="AF136" s="38"/>
      <c r="AG136" s="38"/>
      <c r="AH136" s="38"/>
      <c r="AI136" s="37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13">
        <v>7</v>
      </c>
      <c r="DF136" s="17">
        <v>500000</v>
      </c>
      <c r="DG136" s="186" t="s">
        <v>101</v>
      </c>
      <c r="DH136" s="18">
        <v>25</v>
      </c>
      <c r="DI136" s="18">
        <v>35</v>
      </c>
      <c r="DJ136" s="19" t="e">
        <f>IF((DJ127&gt;DF136),DJ127*DI136,0)</f>
        <v>#REF!</v>
      </c>
    </row>
    <row r="137" spans="1:114">
      <c r="A137" s="37"/>
      <c r="B137" s="38"/>
      <c r="C137" s="38"/>
      <c r="D137" s="38"/>
      <c r="E137" s="38"/>
      <c r="F137" s="38"/>
      <c r="G137" s="38"/>
      <c r="H137" s="37"/>
      <c r="I137" s="38"/>
      <c r="J137" s="38"/>
      <c r="K137" s="38"/>
      <c r="L137" s="38"/>
      <c r="M137" s="38"/>
      <c r="N137" s="38"/>
      <c r="O137" s="37"/>
      <c r="P137" s="38"/>
      <c r="Q137" s="38"/>
      <c r="R137" s="38"/>
      <c r="S137" s="38"/>
      <c r="T137" s="38"/>
      <c r="U137" s="38"/>
      <c r="V137" s="38"/>
      <c r="W137" s="37"/>
      <c r="X137" s="38"/>
      <c r="Y137" s="38"/>
      <c r="Z137" s="38"/>
      <c r="AA137" s="38"/>
      <c r="AB137" s="38"/>
      <c r="AC137" s="37"/>
      <c r="AD137" s="38"/>
      <c r="AE137" s="38"/>
      <c r="AF137" s="38"/>
      <c r="AG137" s="38"/>
      <c r="AH137" s="38"/>
      <c r="AI137" s="37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13"/>
      <c r="DF137" s="17"/>
      <c r="DG137" s="17"/>
      <c r="DH137" s="18"/>
      <c r="DI137" s="18"/>
      <c r="DJ137" s="19"/>
    </row>
    <row r="138" spans="1:114">
      <c r="A138" s="37"/>
      <c r="B138" s="38"/>
      <c r="C138" s="38"/>
      <c r="D138" s="38"/>
      <c r="E138" s="38"/>
      <c r="F138" s="38"/>
      <c r="G138" s="38"/>
      <c r="H138" s="37"/>
      <c r="I138" s="38"/>
      <c r="J138" s="38"/>
      <c r="K138" s="38"/>
      <c r="L138" s="38"/>
      <c r="M138" s="38"/>
      <c r="N138" s="38"/>
      <c r="O138" s="37"/>
      <c r="P138" s="38"/>
      <c r="Q138" s="38"/>
      <c r="R138" s="38"/>
      <c r="S138" s="38"/>
      <c r="T138" s="38"/>
      <c r="U138" s="38"/>
      <c r="V138" s="38"/>
      <c r="W138" s="37"/>
      <c r="X138" s="38"/>
      <c r="Y138" s="38"/>
      <c r="Z138" s="38"/>
      <c r="AA138" s="38"/>
      <c r="AB138" s="38"/>
      <c r="AC138" s="37"/>
      <c r="AD138" s="38"/>
      <c r="AE138" s="38"/>
      <c r="AF138" s="38"/>
      <c r="AG138" s="38"/>
      <c r="AH138" s="38"/>
      <c r="AI138" s="37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13"/>
      <c r="DF138" s="38"/>
      <c r="DG138" s="23" t="s">
        <v>218</v>
      </c>
      <c r="DH138" s="24"/>
      <c r="DI138" s="24"/>
      <c r="DJ138" s="26" t="e">
        <f>SUM(DJ130:DJ136)</f>
        <v>#REF!</v>
      </c>
    </row>
    <row r="139" spans="1:114">
      <c r="A139" s="37"/>
      <c r="B139" s="38"/>
      <c r="C139" s="38"/>
      <c r="D139" s="38"/>
      <c r="E139" s="38"/>
      <c r="F139" s="38"/>
      <c r="G139" s="38"/>
      <c r="H139" s="37"/>
      <c r="I139" s="38"/>
      <c r="J139" s="38"/>
      <c r="K139" s="38"/>
      <c r="L139" s="38"/>
      <c r="M139" s="38"/>
      <c r="N139" s="38"/>
      <c r="O139" s="37"/>
      <c r="P139" s="38"/>
      <c r="Q139" s="38"/>
      <c r="R139" s="38"/>
      <c r="S139" s="38"/>
      <c r="T139" s="38"/>
      <c r="U139" s="38"/>
      <c r="V139" s="38"/>
      <c r="W139" s="37"/>
      <c r="X139" s="38"/>
      <c r="Y139" s="38"/>
      <c r="Z139" s="38"/>
      <c r="AA139" s="38"/>
      <c r="AB139" s="38"/>
      <c r="AC139" s="37"/>
      <c r="AD139" s="38"/>
      <c r="AE139" s="38"/>
      <c r="AF139" s="38"/>
      <c r="AG139" s="38"/>
      <c r="AH139" s="38"/>
      <c r="AI139" s="37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13"/>
      <c r="DF139" s="17"/>
      <c r="DG139" s="27" t="s">
        <v>219</v>
      </c>
      <c r="DH139" s="24"/>
      <c r="DI139" s="24"/>
      <c r="DJ139" s="29">
        <v>0.7</v>
      </c>
    </row>
    <row r="140" spans="1:114">
      <c r="A140" s="37"/>
      <c r="B140" s="38"/>
      <c r="C140" s="38"/>
      <c r="D140" s="38"/>
      <c r="E140" s="38"/>
      <c r="F140" s="38"/>
      <c r="G140" s="38"/>
      <c r="H140" s="37"/>
      <c r="I140" s="38"/>
      <c r="J140" s="38"/>
      <c r="K140" s="38"/>
      <c r="L140" s="38"/>
      <c r="M140" s="38"/>
      <c r="N140" s="38"/>
      <c r="O140" s="37"/>
      <c r="P140" s="38"/>
      <c r="Q140" s="38"/>
      <c r="R140" s="38"/>
      <c r="S140" s="38"/>
      <c r="T140" s="38"/>
      <c r="U140" s="38"/>
      <c r="V140" s="38"/>
      <c r="W140" s="37"/>
      <c r="X140" s="38"/>
      <c r="Y140" s="38"/>
      <c r="Z140" s="38"/>
      <c r="AA140" s="38"/>
      <c r="AB140" s="38"/>
      <c r="AC140" s="37"/>
      <c r="AD140" s="38"/>
      <c r="AE140" s="38"/>
      <c r="AF140" s="38"/>
      <c r="AG140" s="38"/>
      <c r="AH140" s="38"/>
      <c r="AI140" s="37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13"/>
      <c r="DF140" s="17"/>
      <c r="DG140" s="27" t="s">
        <v>220</v>
      </c>
      <c r="DH140" s="24"/>
      <c r="DI140" s="24"/>
      <c r="DJ140" s="29">
        <v>1.2</v>
      </c>
    </row>
  </sheetData>
  <mergeCells count="232">
    <mergeCell ref="A1:G1"/>
    <mergeCell ref="H1:N1"/>
    <mergeCell ref="O1:U1"/>
    <mergeCell ref="W1:AB1"/>
    <mergeCell ref="AC1:AH1"/>
    <mergeCell ref="AI1:AN1"/>
    <mergeCell ref="AP1:AV1"/>
    <mergeCell ref="AW1:BC1"/>
    <mergeCell ref="BD1:BJ1"/>
    <mergeCell ref="BL1:BQ1"/>
    <mergeCell ref="BS1:BW1"/>
    <mergeCell ref="CC1:CG1"/>
    <mergeCell ref="CI1:CO1"/>
    <mergeCell ref="CP1:CV1"/>
    <mergeCell ref="CW1:DC1"/>
    <mergeCell ref="DL1:DQ1"/>
    <mergeCell ref="F2:G2"/>
    <mergeCell ref="M2:N2"/>
    <mergeCell ref="T2:U2"/>
    <mergeCell ref="BL2:BQ2"/>
    <mergeCell ref="BS2:BW2"/>
    <mergeCell ref="CC2:CG2"/>
    <mergeCell ref="DL2:DQ2"/>
    <mergeCell ref="W3:AA3"/>
    <mergeCell ref="AC3:AG3"/>
    <mergeCell ref="AI3:AM3"/>
    <mergeCell ref="AP3:AU3"/>
    <mergeCell ref="AW3:BB3"/>
    <mergeCell ref="BD3:BI3"/>
    <mergeCell ref="BL3:BP3"/>
    <mergeCell ref="DL3:DP3"/>
    <mergeCell ref="W4:AA4"/>
    <mergeCell ref="AC4:AG4"/>
    <mergeCell ref="AI4:AM4"/>
    <mergeCell ref="AQ4:AR4"/>
    <mergeCell ref="AS4:AT4"/>
    <mergeCell ref="AX4:AY4"/>
    <mergeCell ref="AZ4:BA4"/>
    <mergeCell ref="BE4:BF4"/>
    <mergeCell ref="BG4:BH4"/>
    <mergeCell ref="BM4:BN4"/>
    <mergeCell ref="BO4:BP4"/>
    <mergeCell ref="DL4:DP4"/>
    <mergeCell ref="A5:E5"/>
    <mergeCell ref="H5:L5"/>
    <mergeCell ref="O5:S5"/>
    <mergeCell ref="X5:Y5"/>
    <mergeCell ref="Z5:AA5"/>
    <mergeCell ref="AD5:AE5"/>
    <mergeCell ref="AF5:AG5"/>
    <mergeCell ref="AJ5:AK5"/>
    <mergeCell ref="AL5:AM5"/>
    <mergeCell ref="AQ5:AR5"/>
    <mergeCell ref="AS5:AT5"/>
    <mergeCell ref="AX5:AY5"/>
    <mergeCell ref="AZ5:BA5"/>
    <mergeCell ref="BE5:BF5"/>
    <mergeCell ref="BG5:BH5"/>
    <mergeCell ref="BM5:BN5"/>
    <mergeCell ref="BO5:BP5"/>
    <mergeCell ref="DM5:DN5"/>
    <mergeCell ref="DO5:DP5"/>
    <mergeCell ref="B6:C6"/>
    <mergeCell ref="D6:E6"/>
    <mergeCell ref="I6:J6"/>
    <mergeCell ref="K6:L6"/>
    <mergeCell ref="P6:Q6"/>
    <mergeCell ref="R6:S6"/>
    <mergeCell ref="CJ7:CN7"/>
    <mergeCell ref="CQ7:CU7"/>
    <mergeCell ref="CX7:DB7"/>
    <mergeCell ref="CJ8:CN8"/>
    <mergeCell ref="CQ8:CU8"/>
    <mergeCell ref="CX8:DB8"/>
    <mergeCell ref="CJ9:CN9"/>
    <mergeCell ref="CQ9:CU9"/>
    <mergeCell ref="CX9:DB9"/>
    <mergeCell ref="CJ10:CN10"/>
    <mergeCell ref="CQ10:CU10"/>
    <mergeCell ref="CX10:DB10"/>
    <mergeCell ref="BL12:BP12"/>
    <mergeCell ref="BL13:BO13"/>
    <mergeCell ref="BS13:BW13"/>
    <mergeCell ref="BX13:CB13"/>
    <mergeCell ref="CC13:CG13"/>
    <mergeCell ref="CJ13:CN13"/>
    <mergeCell ref="CQ13:CU13"/>
    <mergeCell ref="CX13:DB13"/>
    <mergeCell ref="BL14:BO14"/>
    <mergeCell ref="BS14:BW14"/>
    <mergeCell ref="BX14:CB14"/>
    <mergeCell ref="CC14:CG14"/>
    <mergeCell ref="CJ14:CN14"/>
    <mergeCell ref="CQ14:CU14"/>
    <mergeCell ref="CX14:DB14"/>
    <mergeCell ref="BL15:BO15"/>
    <mergeCell ref="CJ15:CN15"/>
    <mergeCell ref="CQ15:CU15"/>
    <mergeCell ref="CX15:DB15"/>
    <mergeCell ref="BL16:BP16"/>
    <mergeCell ref="BL17:BP17"/>
    <mergeCell ref="BL19:BQ19"/>
    <mergeCell ref="CJ19:CP19"/>
    <mergeCell ref="AP20:AU20"/>
    <mergeCell ref="AW20:BB20"/>
    <mergeCell ref="BD20:BI20"/>
    <mergeCell ref="BL20:BQ20"/>
    <mergeCell ref="CJ20:CP20"/>
    <mergeCell ref="BL21:BP21"/>
    <mergeCell ref="CJ21:CN21"/>
    <mergeCell ref="AP22:AV22"/>
    <mergeCell ref="BM22:BN22"/>
    <mergeCell ref="BO22:BP22"/>
    <mergeCell ref="CJ22:CN22"/>
    <mergeCell ref="BM23:BN23"/>
    <mergeCell ref="BO23:BP23"/>
    <mergeCell ref="BS23:BW23"/>
    <mergeCell ref="CC23:CG23"/>
    <mergeCell ref="CK23:CL23"/>
    <mergeCell ref="CM23:CN23"/>
    <mergeCell ref="AP24:AT24"/>
    <mergeCell ref="BS24:BW24"/>
    <mergeCell ref="BX24:CB24"/>
    <mergeCell ref="CC24:CG24"/>
    <mergeCell ref="AP25:AT25"/>
    <mergeCell ref="AQ26:AR26"/>
    <mergeCell ref="AS26:AT26"/>
    <mergeCell ref="BL30:BP30"/>
    <mergeCell ref="BL31:BO31"/>
    <mergeCell ref="BL32:BO32"/>
    <mergeCell ref="BL33:BO33"/>
    <mergeCell ref="BS33:BW33"/>
    <mergeCell ref="BX33:CB33"/>
    <mergeCell ref="CC33:CG33"/>
    <mergeCell ref="BL34:BP34"/>
    <mergeCell ref="BS34:BW34"/>
    <mergeCell ref="BX34:CB34"/>
    <mergeCell ref="CC34:CG34"/>
    <mergeCell ref="BL35:BP35"/>
    <mergeCell ref="BL37:BQ37"/>
    <mergeCell ref="BL38:BQ38"/>
    <mergeCell ref="BL39:BP39"/>
    <mergeCell ref="CJ39:CP39"/>
    <mergeCell ref="BM40:BN40"/>
    <mergeCell ref="BO40:BP40"/>
    <mergeCell ref="CJ40:CP40"/>
    <mergeCell ref="BM41:BN41"/>
    <mergeCell ref="BO41:BP41"/>
    <mergeCell ref="CJ41:CN41"/>
    <mergeCell ref="CJ42:CN42"/>
    <mergeCell ref="CK43:CL43"/>
    <mergeCell ref="CM43:CN43"/>
    <mergeCell ref="BS47:CG47"/>
    <mergeCell ref="BL48:BP48"/>
    <mergeCell ref="BL49:BO49"/>
    <mergeCell ref="BL50:BO50"/>
    <mergeCell ref="BL51:BO51"/>
    <mergeCell ref="BL52:BP52"/>
    <mergeCell ref="BL53:BP53"/>
    <mergeCell ref="BL55:BQ55"/>
    <mergeCell ref="BL56:BQ56"/>
    <mergeCell ref="BL57:BP57"/>
    <mergeCell ref="BM58:BN58"/>
    <mergeCell ref="BO58:BP58"/>
    <mergeCell ref="BM59:BN59"/>
    <mergeCell ref="BO59:BP59"/>
    <mergeCell ref="CJ59:CP59"/>
    <mergeCell ref="CJ60:CP60"/>
    <mergeCell ref="CJ61:CN61"/>
    <mergeCell ref="CJ62:CN62"/>
    <mergeCell ref="CK63:CL63"/>
    <mergeCell ref="CM63:CN63"/>
    <mergeCell ref="BS64:BW64"/>
    <mergeCell ref="BT65:BU65"/>
    <mergeCell ref="BV65:BW65"/>
    <mergeCell ref="BL66:BP66"/>
    <mergeCell ref="BL67:BO67"/>
    <mergeCell ref="BL68:BO68"/>
    <mergeCell ref="BL69:BO69"/>
    <mergeCell ref="BL70:BP70"/>
    <mergeCell ref="BL71:BP71"/>
    <mergeCell ref="DE77:DJ77"/>
    <mergeCell ref="DE78:DJ78"/>
    <mergeCell ref="CJ79:CP79"/>
    <mergeCell ref="DE79:DI79"/>
    <mergeCell ref="CJ80:CP80"/>
    <mergeCell ref="DE80:DI80"/>
    <mergeCell ref="CJ81:CN81"/>
    <mergeCell ref="DF81:DG81"/>
    <mergeCell ref="DH81:DI81"/>
    <mergeCell ref="CJ82:CN82"/>
    <mergeCell ref="CK83:CL83"/>
    <mergeCell ref="CM83:CN83"/>
    <mergeCell ref="BS87:BW87"/>
    <mergeCell ref="BS88:BW88"/>
    <mergeCell ref="DE94:DJ94"/>
    <mergeCell ref="DE95:DI95"/>
    <mergeCell ref="DE96:DI96"/>
    <mergeCell ref="DF97:DG97"/>
    <mergeCell ref="DH97:DI97"/>
    <mergeCell ref="CK103:CO103"/>
    <mergeCell ref="DE110:DJ110"/>
    <mergeCell ref="DE111:DI111"/>
    <mergeCell ref="DE112:DI112"/>
    <mergeCell ref="DF113:DG113"/>
    <mergeCell ref="DH113:DI113"/>
    <mergeCell ref="DE126:DJ126"/>
    <mergeCell ref="DE127:DI127"/>
    <mergeCell ref="DE128:DI128"/>
    <mergeCell ref="DF129:DG129"/>
    <mergeCell ref="DH129:DI129"/>
    <mergeCell ref="AP4:AP5"/>
    <mergeCell ref="AU4:AU5"/>
    <mergeCell ref="AV4:AV5"/>
    <mergeCell ref="AW4:AW5"/>
    <mergeCell ref="BB4:BB5"/>
    <mergeCell ref="BC4:BC5"/>
    <mergeCell ref="BD4:BD5"/>
    <mergeCell ref="BI4:BI5"/>
    <mergeCell ref="BJ4:BJ5"/>
    <mergeCell ref="BL4:BL5"/>
    <mergeCell ref="BL22:BL23"/>
    <mergeCell ref="BL40:BL41"/>
    <mergeCell ref="BL58:BL59"/>
    <mergeCell ref="BQ4:BQ5"/>
    <mergeCell ref="BQ22:BQ23"/>
    <mergeCell ref="BQ40:BQ41"/>
    <mergeCell ref="BQ58:BQ59"/>
    <mergeCell ref="A3:E4"/>
    <mergeCell ref="H3:L4"/>
    <mergeCell ref="O3:S4"/>
    <mergeCell ref="BS62:BW63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元吉小区</vt:lpstr>
      <vt:lpstr>取费1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dddad</cp:lastModifiedBy>
  <dcterms:created xsi:type="dcterms:W3CDTF">2025-02-18T13:04:00Z</dcterms:created>
  <cp:lastPrinted>2025-07-11T02:50:00Z</cp:lastPrinted>
  <dcterms:modified xsi:type="dcterms:W3CDTF">2025-09-11T01:56:43Z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400660D1E3A449908F543F009B53F79A_12</vt:lpwstr>
  </property>
  <property fmtid="{D5CDD505-2E9C-101B-9397-08002B2CF9AE}" pid="3" name="KSOProductBuildVer">
    <vt:lpwstr>2052-12.1.0.22529</vt:lpwstr>
  </property>
</Properties>
</file>